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GG\SDRH\SRHAG3\COMMUN GA20\Accord Cadre 1999 à 2012 suivis administratifs\IDR Ep salariale Nv dispositif\Simulations\"/>
    </mc:Choice>
  </mc:AlternateContent>
  <bookViews>
    <workbookView xWindow="0" yWindow="0" windowWidth="25200" windowHeight="11550" activeTab="2"/>
  </bookViews>
  <sheets>
    <sheet name="PRESENTATION" sheetId="9" r:id="rId1"/>
    <sheet name="Rappel du dispositif" sheetId="11" r:id="rId2"/>
    <sheet name="ESTIMATION PERSONNELL" sheetId="1" r:id="rId3"/>
    <sheet name="Détail du calcul" sheetId="10" r:id="rId4"/>
  </sheets>
  <definedNames>
    <definedName name="_xlnm.Print_Titles" localSheetId="2">'ESTIMATION PERSONNELL'!$7:$13</definedName>
    <definedName name="_xlnm.Print_Area" localSheetId="2">'ESTIMATION PERSONNELL'!$A$1:$AB$38</definedName>
    <definedName name="_xlnm.Print_Area" localSheetId="0">PRESENTATION!$A$1:$M$55</definedName>
  </definedNames>
  <calcPr calcId="171027"/>
</workbook>
</file>

<file path=xl/calcChain.xml><?xml version="1.0" encoding="utf-8"?>
<calcChain xmlns="http://schemas.openxmlformats.org/spreadsheetml/2006/main">
  <c r="M30" i="1" l="1"/>
  <c r="O30" i="1"/>
  <c r="Q30" i="1"/>
  <c r="S30" i="1"/>
  <c r="U30" i="1"/>
  <c r="W30" i="1"/>
  <c r="Y30" i="1"/>
  <c r="AA30" i="1"/>
  <c r="C28" i="1"/>
  <c r="E28" i="1" s="1"/>
  <c r="G28" i="1" s="1"/>
  <c r="I28" i="1" s="1"/>
  <c r="K28" i="1" s="1"/>
  <c r="E32" i="1" l="1"/>
  <c r="G32" i="1"/>
  <c r="I32" i="1"/>
  <c r="C32" i="1"/>
  <c r="A15" i="1" l="1"/>
  <c r="E62" i="1"/>
  <c r="G62" i="1"/>
  <c r="I62" i="1"/>
  <c r="K62" i="1"/>
  <c r="M62" i="1"/>
  <c r="O62" i="1"/>
  <c r="Q62" i="1"/>
  <c r="S62" i="1"/>
  <c r="U62" i="1"/>
  <c r="W62" i="1"/>
  <c r="Y62" i="1"/>
  <c r="AA62" i="1"/>
  <c r="C62" i="1"/>
  <c r="M25" i="1"/>
  <c r="O25" i="1"/>
  <c r="Q25" i="1"/>
  <c r="S25" i="1"/>
  <c r="U25" i="1"/>
  <c r="W25" i="1"/>
  <c r="Y25" i="1"/>
  <c r="AA25" i="1"/>
  <c r="K25" i="1"/>
  <c r="E61" i="1"/>
  <c r="G61" i="1"/>
  <c r="I61" i="1"/>
  <c r="K61" i="1"/>
  <c r="M61" i="1"/>
  <c r="O61" i="1"/>
  <c r="Q61" i="1"/>
  <c r="S61" i="1"/>
  <c r="U61" i="1"/>
  <c r="W61" i="1"/>
  <c r="Y61" i="1"/>
  <c r="AA61" i="1"/>
  <c r="C61" i="1"/>
  <c r="AA32" i="1"/>
  <c r="Y32" i="1"/>
  <c r="W32" i="1"/>
  <c r="U32" i="1"/>
  <c r="S32" i="1"/>
  <c r="Q32" i="1"/>
  <c r="O32" i="1"/>
  <c r="M32" i="1"/>
  <c r="E19" i="1"/>
  <c r="E20" i="1" s="1"/>
  <c r="G19" i="1"/>
  <c r="I19" i="1"/>
  <c r="I20" i="1" s="1"/>
  <c r="K19" i="1"/>
  <c r="K20" i="1" s="1"/>
  <c r="M19" i="1"/>
  <c r="M20" i="1" s="1"/>
  <c r="O19" i="1"/>
  <c r="O20" i="1" s="1"/>
  <c r="Q19" i="1"/>
  <c r="Q20" i="1" s="1"/>
  <c r="S19" i="1"/>
  <c r="S20" i="1" s="1"/>
  <c r="U19" i="1"/>
  <c r="U20" i="1" s="1"/>
  <c r="W19" i="1"/>
  <c r="W20" i="1" s="1"/>
  <c r="Y19" i="1"/>
  <c r="Y20" i="1" s="1"/>
  <c r="AA19" i="1"/>
  <c r="AA20" i="1" s="1"/>
  <c r="C19" i="1"/>
  <c r="C20" i="1" s="1"/>
  <c r="A8" i="10"/>
  <c r="M29" i="1"/>
  <c r="O29" i="1"/>
  <c r="Q29" i="1"/>
  <c r="S29" i="1"/>
  <c r="U29" i="1"/>
  <c r="W29" i="1"/>
  <c r="Y29" i="1"/>
  <c r="AA29" i="1"/>
  <c r="G20" i="1" l="1"/>
  <c r="G21" i="1" s="1"/>
  <c r="C21" i="1"/>
  <c r="I21" i="1"/>
  <c r="E21" i="1"/>
  <c r="U33" i="1"/>
  <c r="Y33" i="1"/>
  <c r="W33" i="1"/>
  <c r="AA33" i="1"/>
  <c r="H3" i="1" l="1"/>
  <c r="A16" i="1" l="1"/>
  <c r="G29" i="1" l="1"/>
  <c r="G30" i="1" s="1"/>
  <c r="I29" i="1"/>
  <c r="I30" i="1" s="1"/>
  <c r="K29" i="1"/>
  <c r="K30" i="1" s="1"/>
  <c r="E29" i="1"/>
  <c r="E30" i="1" s="1"/>
  <c r="C29" i="1"/>
  <c r="C30" i="1" s="1"/>
  <c r="Q11" i="1"/>
  <c r="Q12" i="1"/>
  <c r="Q13" i="1" l="1"/>
  <c r="A7" i="10"/>
  <c r="H6" i="1"/>
  <c r="C38" i="1"/>
  <c r="C45" i="10" s="1"/>
  <c r="C9" i="10" l="1"/>
  <c r="O22" i="1"/>
  <c r="O23" i="1" s="1"/>
  <c r="S22" i="1"/>
  <c r="S23" i="1" s="1"/>
  <c r="W22" i="1"/>
  <c r="W23" i="1" s="1"/>
  <c r="AA22" i="1"/>
  <c r="AA23" i="1" s="1"/>
  <c r="M22" i="1"/>
  <c r="M23" i="1" s="1"/>
  <c r="Q22" i="1"/>
  <c r="Q23" i="1" s="1"/>
  <c r="U22" i="1"/>
  <c r="U23" i="1" s="1"/>
  <c r="Y22" i="1"/>
  <c r="Y23" i="1" s="1"/>
  <c r="I42" i="10"/>
  <c r="G42" i="10"/>
  <c r="E42" i="10"/>
  <c r="C42" i="10"/>
  <c r="E39" i="10"/>
  <c r="G39" i="10" s="1"/>
  <c r="I39" i="10" s="1"/>
  <c r="K39" i="10" s="1"/>
  <c r="C38" i="10"/>
  <c r="E38" i="10" s="1"/>
  <c r="G38" i="10" s="1"/>
  <c r="I38" i="10" s="1"/>
  <c r="C34" i="10"/>
  <c r="C31" i="10"/>
  <c r="C30" i="10"/>
  <c r="E29" i="10"/>
  <c r="E31" i="10" s="1"/>
  <c r="E27" i="10"/>
  <c r="G27" i="10" s="1"/>
  <c r="I27" i="10" s="1"/>
  <c r="K27" i="10" s="1"/>
  <c r="E26" i="10"/>
  <c r="G26" i="10" s="1"/>
  <c r="L25" i="10"/>
  <c r="K25" i="10"/>
  <c r="K14" i="10"/>
  <c r="I14" i="10"/>
  <c r="G14" i="10"/>
  <c r="E14" i="10"/>
  <c r="C14" i="10"/>
  <c r="C13" i="10"/>
  <c r="K32" i="1"/>
  <c r="S33" i="1" s="1"/>
  <c r="K24" i="10"/>
  <c r="Y26" i="1" l="1"/>
  <c r="U26" i="1"/>
  <c r="AA26" i="1"/>
  <c r="W26" i="1"/>
  <c r="U24" i="1"/>
  <c r="K38" i="10"/>
  <c r="W24" i="1"/>
  <c r="Y24" i="1"/>
  <c r="AA24" i="1"/>
  <c r="E34" i="10"/>
  <c r="G34" i="10" s="1"/>
  <c r="C15" i="10"/>
  <c r="E13" i="10"/>
  <c r="E15" i="10" s="1"/>
  <c r="C17" i="10"/>
  <c r="E25" i="10"/>
  <c r="E24" i="10"/>
  <c r="I24" i="10"/>
  <c r="C24" i="10"/>
  <c r="G24" i="10"/>
  <c r="G30" i="10"/>
  <c r="I26" i="10"/>
  <c r="E30" i="10"/>
  <c r="C43" i="10"/>
  <c r="C44" i="10" s="1"/>
  <c r="F25" i="10"/>
  <c r="G29" i="10"/>
  <c r="C6" i="10"/>
  <c r="B5" i="10"/>
  <c r="A4" i="10"/>
  <c r="Y26" i="10"/>
  <c r="AA26" i="10"/>
  <c r="E43" i="10" l="1"/>
  <c r="E44" i="10" s="1"/>
  <c r="E33" i="10"/>
  <c r="I33" i="10"/>
  <c r="G33" i="10"/>
  <c r="C33" i="10"/>
  <c r="C37" i="10" s="1"/>
  <c r="E18" i="10"/>
  <c r="I18" i="10"/>
  <c r="C18" i="10"/>
  <c r="C20" i="10" s="1"/>
  <c r="C21" i="10" s="1"/>
  <c r="G19" i="10"/>
  <c r="K19" i="10"/>
  <c r="G18" i="10"/>
  <c r="K18" i="10"/>
  <c r="E19" i="10"/>
  <c r="I19" i="10"/>
  <c r="C19" i="10"/>
  <c r="E22" i="1"/>
  <c r="E23" i="1" s="1"/>
  <c r="I22" i="1"/>
  <c r="I23" i="1" s="1"/>
  <c r="C22" i="1"/>
  <c r="C23" i="1" s="1"/>
  <c r="G22" i="1"/>
  <c r="G23" i="1" s="1"/>
  <c r="K22" i="1"/>
  <c r="K23" i="1" s="1"/>
  <c r="G13" i="10"/>
  <c r="G17" i="10" s="1"/>
  <c r="E17" i="10"/>
  <c r="H25" i="10"/>
  <c r="G31" i="10"/>
  <c r="I29" i="10"/>
  <c r="G25" i="10"/>
  <c r="I13" i="10"/>
  <c r="I34" i="10"/>
  <c r="G43" i="10"/>
  <c r="G44" i="10" s="1"/>
  <c r="K26" i="10"/>
  <c r="K30" i="10" s="1"/>
  <c r="I30" i="10"/>
  <c r="S26" i="10"/>
  <c r="O26" i="10"/>
  <c r="W26" i="10"/>
  <c r="M26" i="10"/>
  <c r="Q26" i="10"/>
  <c r="U26" i="10"/>
  <c r="M24" i="1" l="1"/>
  <c r="O24" i="1"/>
  <c r="Q24" i="1"/>
  <c r="S24" i="1"/>
  <c r="C24" i="1"/>
  <c r="C31" i="1" s="1"/>
  <c r="C22" i="10"/>
  <c r="G20" i="10"/>
  <c r="G21" i="10" s="1"/>
  <c r="E20" i="10"/>
  <c r="G15" i="10"/>
  <c r="I17" i="10"/>
  <c r="I20" i="10" s="1"/>
  <c r="I21" i="10" s="1"/>
  <c r="K13" i="10"/>
  <c r="I15" i="10"/>
  <c r="I43" i="10"/>
  <c r="I44" i="10" s="1"/>
  <c r="K34" i="10"/>
  <c r="I31" i="10"/>
  <c r="K31" i="10" s="1"/>
  <c r="J25" i="10"/>
  <c r="I25" i="10"/>
  <c r="C27" i="1" l="1"/>
  <c r="K43" i="10"/>
  <c r="C35" i="10"/>
  <c r="G22" i="10"/>
  <c r="E22" i="10"/>
  <c r="E21" i="10"/>
  <c r="I22" i="10"/>
  <c r="K15" i="10"/>
  <c r="K17" i="10"/>
  <c r="E24" i="1"/>
  <c r="E31" i="1" s="1"/>
  <c r="E35" i="10" l="1"/>
  <c r="G24" i="1"/>
  <c r="G31" i="1" s="1"/>
  <c r="E27" i="1"/>
  <c r="K20" i="10"/>
  <c r="K21" i="10" s="1"/>
  <c r="K21" i="1" s="1"/>
  <c r="M21" i="1" s="1"/>
  <c r="O21" i="1" s="1"/>
  <c r="Q21" i="1" s="1"/>
  <c r="S21" i="1" s="1"/>
  <c r="M17" i="10"/>
  <c r="M16" i="10"/>
  <c r="N16" i="10"/>
  <c r="U21" i="1" l="1"/>
  <c r="S34" i="1"/>
  <c r="G35" i="10"/>
  <c r="I35" i="10" s="1"/>
  <c r="I24" i="1"/>
  <c r="I31" i="1" s="1"/>
  <c r="G27" i="1"/>
  <c r="K22" i="10"/>
  <c r="M14" i="10"/>
  <c r="O17" i="10"/>
  <c r="O16" i="10"/>
  <c r="P16" i="10"/>
  <c r="M20" i="10"/>
  <c r="W21" i="1" l="1"/>
  <c r="U34" i="1"/>
  <c r="S35" i="1"/>
  <c r="S36" i="1"/>
  <c r="O33" i="1"/>
  <c r="O34" i="1" s="1"/>
  <c r="K24" i="1"/>
  <c r="I27" i="1"/>
  <c r="S20" i="10"/>
  <c r="Q20" i="10"/>
  <c r="O20" i="10"/>
  <c r="O14" i="10"/>
  <c r="N23" i="10"/>
  <c r="M23" i="10"/>
  <c r="R16" i="10"/>
  <c r="Q16" i="10"/>
  <c r="Q14" i="10"/>
  <c r="U35" i="1" l="1"/>
  <c r="U36" i="1"/>
  <c r="Y21" i="1"/>
  <c r="W34" i="1"/>
  <c r="K33" i="1"/>
  <c r="K34" i="1" s="1"/>
  <c r="Q33" i="1"/>
  <c r="Q34" i="1" s="1"/>
  <c r="M33" i="1"/>
  <c r="M34" i="1" s="1"/>
  <c r="K27" i="1"/>
  <c r="M27" i="1" s="1"/>
  <c r="O27" i="1" s="1"/>
  <c r="Q27" i="1" s="1"/>
  <c r="S27" i="1" s="1"/>
  <c r="U27" i="1" s="1"/>
  <c r="W27" i="1" s="1"/>
  <c r="Y27" i="1" s="1"/>
  <c r="AA27" i="1" s="1"/>
  <c r="U14" i="10"/>
  <c r="N25" i="10"/>
  <c r="N27" i="10"/>
  <c r="N24" i="10"/>
  <c r="S14" i="10"/>
  <c r="P23" i="10"/>
  <c r="P24" i="10" s="1"/>
  <c r="O23" i="10"/>
  <c r="O24" i="10" s="1"/>
  <c r="Q17" i="10"/>
  <c r="S17" i="10" s="1"/>
  <c r="S16" i="10"/>
  <c r="T16" i="10"/>
  <c r="M27" i="10"/>
  <c r="M25" i="10"/>
  <c r="M24" i="10"/>
  <c r="U20" i="10"/>
  <c r="AA21" i="1" l="1"/>
  <c r="AA34" i="1" s="1"/>
  <c r="Y34" i="1"/>
  <c r="W36" i="1"/>
  <c r="W35" i="1"/>
  <c r="U17" i="10"/>
  <c r="V16" i="10"/>
  <c r="U16" i="10"/>
  <c r="O27" i="10"/>
  <c r="O25" i="10"/>
  <c r="W20" i="10"/>
  <c r="P25" i="10"/>
  <c r="P27" i="10"/>
  <c r="T23" i="10"/>
  <c r="T24" i="10" s="1"/>
  <c r="S23" i="10"/>
  <c r="S24" i="10" s="1"/>
  <c r="Q23" i="10"/>
  <c r="Y20" i="10"/>
  <c r="W14" i="10"/>
  <c r="R23" i="10"/>
  <c r="Y14" i="10"/>
  <c r="Y35" i="1" l="1"/>
  <c r="Y36" i="1"/>
  <c r="AA35" i="1"/>
  <c r="AA36" i="1"/>
  <c r="R25" i="10"/>
  <c r="R27" i="10"/>
  <c r="R24" i="10"/>
  <c r="V23" i="10"/>
  <c r="S27" i="10"/>
  <c r="S25" i="10"/>
  <c r="W16" i="10"/>
  <c r="W17" i="10"/>
  <c r="X16" i="10"/>
  <c r="AA14" i="10"/>
  <c r="U23" i="10"/>
  <c r="Q27" i="10"/>
  <c r="Q25" i="10"/>
  <c r="Q24" i="10"/>
  <c r="T25" i="10"/>
  <c r="T27" i="10"/>
  <c r="AA20" i="10"/>
  <c r="W23" i="10" l="1"/>
  <c r="X23" i="10"/>
  <c r="U27" i="10"/>
  <c r="U25" i="10"/>
  <c r="U24" i="10"/>
  <c r="V25" i="10"/>
  <c r="V27" i="10"/>
  <c r="V24" i="10"/>
  <c r="Y17" i="10"/>
  <c r="Z16" i="10"/>
  <c r="Y16" i="10"/>
  <c r="Y23" i="10" l="1"/>
  <c r="W27" i="10"/>
  <c r="W25" i="10"/>
  <c r="W24" i="10"/>
  <c r="Z23" i="10"/>
  <c r="AA17" i="10"/>
  <c r="AA16" i="10"/>
  <c r="AB16" i="10"/>
  <c r="X25" i="10"/>
  <c r="X27" i="10"/>
  <c r="X24" i="10"/>
  <c r="AA23" i="10" l="1"/>
  <c r="Z25" i="10"/>
  <c r="Z27" i="10"/>
  <c r="Z24" i="10"/>
  <c r="Y27" i="10"/>
  <c r="Y25" i="10"/>
  <c r="Y24" i="10"/>
  <c r="AB23" i="10"/>
  <c r="AB25" i="10" l="1"/>
  <c r="AB27" i="10"/>
  <c r="AB24" i="10"/>
  <c r="AA27" i="10"/>
  <c r="AA25" i="10"/>
  <c r="AA24" i="10"/>
  <c r="E38" i="1" l="1"/>
  <c r="G38" i="1" l="1"/>
  <c r="E45" i="10"/>
  <c r="I38" i="1" l="1"/>
  <c r="I45" i="10" s="1"/>
  <c r="G45" i="10"/>
  <c r="C40" i="10" l="1"/>
  <c r="C33" i="1"/>
  <c r="C34" i="1" s="1"/>
  <c r="E37" i="10"/>
  <c r="E40" i="10" l="1"/>
  <c r="G37" i="10"/>
  <c r="E33" i="1"/>
  <c r="E34" i="1" s="1"/>
  <c r="C35" i="1"/>
  <c r="C36" i="1"/>
  <c r="I37" i="10"/>
  <c r="G40" i="10" l="1"/>
  <c r="I40" i="10" s="1"/>
  <c r="E35" i="1"/>
  <c r="G33" i="1"/>
  <c r="G34" i="1" l="1"/>
  <c r="G35" i="1" s="1"/>
  <c r="E36" i="1"/>
  <c r="I33" i="1"/>
  <c r="I34" i="1" s="1"/>
  <c r="G36" i="1" l="1"/>
  <c r="K35" i="1"/>
  <c r="Q36" i="1"/>
  <c r="Q35" i="1"/>
  <c r="M36" i="1"/>
  <c r="M35" i="1"/>
  <c r="O36" i="1"/>
  <c r="O35" i="1"/>
  <c r="I36" i="1"/>
  <c r="K36" i="1" l="1"/>
  <c r="I35" i="1"/>
</calcChain>
</file>

<file path=xl/sharedStrings.xml><?xml version="1.0" encoding="utf-8"?>
<sst xmlns="http://schemas.openxmlformats.org/spreadsheetml/2006/main" count="222" uniqueCount="164">
  <si>
    <t>Année</t>
  </si>
  <si>
    <t xml:space="preserve">Taux de charges salariales </t>
  </si>
  <si>
    <t>Montant de l'ex IDR brute simple</t>
  </si>
  <si>
    <t>Taux de charges salariales PERCO</t>
  </si>
  <si>
    <t>Montant</t>
  </si>
  <si>
    <t xml:space="preserve"> 1 - IDR</t>
  </si>
  <si>
    <t xml:space="preserve"> 2 - ABONDEMENT PERCO</t>
  </si>
  <si>
    <t>Taux de charges patronales</t>
  </si>
  <si>
    <t>Taux de charges salariales sur prime</t>
  </si>
  <si>
    <t>Taux de charges salariales</t>
  </si>
  <si>
    <t>a</t>
  </si>
  <si>
    <t>b</t>
  </si>
  <si>
    <t>Nombre d'années maxi de bénéfice de l'abondement (cumul jusq 5 ans maximum)</t>
  </si>
  <si>
    <t>Nb d'années maxi de bénéfice de ce VP</t>
  </si>
  <si>
    <t>Différence de montant brut entre l'ancienne IDR et le nouveau versement</t>
  </si>
  <si>
    <t>Charges salariales sur les montants</t>
  </si>
  <si>
    <t>Nombre de jours</t>
  </si>
  <si>
    <t>Nombre d'années cumulé maximum de bénéfice de la PE fin de carrière</t>
  </si>
  <si>
    <t>TOTAL NET DISPOSITIFS FINANCIERS</t>
  </si>
  <si>
    <t>Différence de montant NET entre l'ancienne IDR et les nouveaux dispositifs financiers</t>
  </si>
  <si>
    <t>c</t>
  </si>
  <si>
    <t>d</t>
  </si>
  <si>
    <t xml:space="preserve"> 4- PRIME EXCEPT DE FIN DE CARRIERE (5 ANS)</t>
  </si>
  <si>
    <t>Pour les fonctionnaires</t>
  </si>
  <si>
    <t>Pour les salariés sous convention collective</t>
  </si>
  <si>
    <t>sur les versements PERCO</t>
  </si>
  <si>
    <t>sur les primes</t>
  </si>
  <si>
    <t>sur l'IDR</t>
  </si>
  <si>
    <t>1 -</t>
  </si>
  <si>
    <t>2-</t>
  </si>
  <si>
    <t>3-</t>
  </si>
  <si>
    <t>Pour  les personnes à temps partiel</t>
  </si>
  <si>
    <t>Si vous êtes à 90%, le montant obtenu doit être multiplié par 35/32</t>
  </si>
  <si>
    <t>Si vous êtes à 80%, le montant obtenu doit être multiplié par 7/6</t>
  </si>
  <si>
    <t>Si vous êtes à 50%, le montant obtenu doit être multiplié par 2</t>
  </si>
  <si>
    <t xml:space="preserve">4- </t>
  </si>
  <si>
    <t>Par convention, l'indice sera retenu comme stable sur toute la période</t>
  </si>
  <si>
    <t>Le fait d'avoir droit au dispositif légal de carrière longue (d)</t>
  </si>
  <si>
    <t>Votre indice de rémunération actuel  ( c)</t>
  </si>
  <si>
    <r>
      <t xml:space="preserve">Montant de l'ex IDR simple NETTE </t>
    </r>
    <r>
      <rPr>
        <sz val="11"/>
        <color theme="1"/>
        <rFont val="Arial"/>
        <family val="2"/>
      </rPr>
      <t>2017</t>
    </r>
  </si>
  <si>
    <t>Taux de dégressivité</t>
  </si>
  <si>
    <t>IDR brute nouveau dispositif</t>
  </si>
  <si>
    <t>e</t>
  </si>
  <si>
    <t>5 à 7</t>
  </si>
  <si>
    <t>Abondement PERCO (pour mémoire)</t>
  </si>
  <si>
    <t>Salarié sous convention</t>
  </si>
  <si>
    <t>2 mois</t>
  </si>
  <si>
    <t>Supplément prime ("bas salaires")</t>
  </si>
  <si>
    <t>Possibilité d'abonder le PERCO grâce au versement de tout ou partie de l'intéressement</t>
  </si>
  <si>
    <t xml:space="preserve">Votre ancienneté est de </t>
  </si>
  <si>
    <t>ans</t>
  </si>
  <si>
    <t>Votre rémunération annuelle de base est de</t>
  </si>
  <si>
    <t>euros</t>
  </si>
  <si>
    <t xml:space="preserve">Votre supplément d'épargne salariale est de </t>
  </si>
  <si>
    <t>Années</t>
  </si>
  <si>
    <t>Rappel des éléments de votre situation personnelle</t>
  </si>
  <si>
    <t>Nouvelle IDR nette de charges salariales</t>
  </si>
  <si>
    <t>Valorisation de jours (brut)</t>
  </si>
  <si>
    <t>Valorisation de jours (net)</t>
  </si>
  <si>
    <t>Montant de l'ex IDR brute simple calcul 2017</t>
  </si>
  <si>
    <t>Montant de l'ex IDR nette simple calcul 2017</t>
  </si>
  <si>
    <t>Pour mémoire, rappel des dispositifs transitoires et/ou pérennes mis en place</t>
  </si>
  <si>
    <t>Jours carrières longues selon ancienneté</t>
  </si>
  <si>
    <t>Entre 15 et 20 ans</t>
  </si>
  <si>
    <t>Entre 20 et 30 ans</t>
  </si>
  <si>
    <t>Entre 30 et 40 ans</t>
  </si>
  <si>
    <t>Supérieure à 40 ans</t>
  </si>
  <si>
    <t xml:space="preserve">Versement unilatéral sur le PERCO (inclus dans les 7000 euros)                                                                                     </t>
  </si>
  <si>
    <t>TOTAL maxi Abondements épargne salariale</t>
  </si>
  <si>
    <t>Le montant de la rémunération annuelle de base (a) RAB</t>
  </si>
  <si>
    <t>Si vous êtes à 70%, le montant obtenu doit être multiplié par 10/7</t>
  </si>
  <si>
    <t>Si vous êtes à 60%, le montant obtenu doit être multiplié par 10/6</t>
  </si>
  <si>
    <t>Il figure sur votre bulletin de paie</t>
  </si>
  <si>
    <t>Montant de l'IDR brute x taux de dégressivité</t>
  </si>
  <si>
    <t>Montant légal (code du travail)</t>
  </si>
  <si>
    <t xml:space="preserve">Gain maximum épargne salariale = </t>
  </si>
  <si>
    <r>
      <t xml:space="preserve">3- VERSEMENT PERIODIQUE EMPL PERCO </t>
    </r>
    <r>
      <rPr>
        <u/>
        <sz val="10"/>
        <color theme="1"/>
        <rFont val="Arial"/>
        <family val="2"/>
      </rPr>
      <t>(inclus dans le plafond de 6276€)</t>
    </r>
  </si>
  <si>
    <t>DETAILS DU CALCUL</t>
  </si>
  <si>
    <t>Pour les salariés sous convention collective, l'ancienneté est parfois rappelée sur le contrat de travail</t>
  </si>
  <si>
    <t>ESTIMATION PERSONNELLE DU NOUVEAU DISPOSITIF D'ACCOMPAGNEMENT RETRAITE</t>
  </si>
  <si>
    <t>Supplément net d'abondement épargne salariale supplémentaire annuel possible</t>
  </si>
  <si>
    <t>Année de départ à la retraite</t>
  </si>
  <si>
    <t>Possibilité de conserver la compensation EPI même en renonçant à l'abondement patronal sur l'EPI et en ouvrant un PEE et un PERCO</t>
  </si>
  <si>
    <t>RESULTAT : CALCUL DE VOTRE SITUATION,  en prenant en compte l'effet cumulatif des mesures (5 ans)</t>
  </si>
  <si>
    <t>5 Supplément Prime exceptionnelle de fin de carrière (5 ANS) "bas salaires"</t>
  </si>
  <si>
    <t xml:space="preserve">Dégressivité puis régime légal </t>
  </si>
  <si>
    <t>10 ans d'ancienneté</t>
  </si>
  <si>
    <t>15 ans  d'ancienneté</t>
  </si>
  <si>
    <t>30 ans d'ancienneté</t>
  </si>
  <si>
    <t>40 ans d'ancienneté</t>
  </si>
  <si>
    <t>1/2 mois</t>
  </si>
  <si>
    <t>1 mois</t>
  </si>
  <si>
    <t>1,5 mois</t>
  </si>
  <si>
    <t>IDR nette nouveau dispositif</t>
  </si>
  <si>
    <t>Saisissez les éléments nécessaires au calcul (cases oranges)</t>
  </si>
  <si>
    <t>Eléments concernant votre épargne salariale actuelle ( e )</t>
  </si>
  <si>
    <t xml:space="preserve">Prime exceptionnelle nette annuelle </t>
  </si>
  <si>
    <t>A vous de l'estimer éventuellement à l'aide de vos relevés de carrière</t>
  </si>
  <si>
    <t>Les personnes qui épargnent déjà sur ces produits bénéficieront de la différence de ces plafonds, c'est ce qui est calculé dans le tableau d'estimation personnelle.</t>
  </si>
  <si>
    <t xml:space="preserve">      Pour info, nb de mois code du travail</t>
  </si>
  <si>
    <t>Pour les fonctionnaires : dans le cas général, vous pouvez estimer votre RAB en prenant votre bulletin de paie et en calculant de la façon suivante :TIB + indemnité de résidence + SFT + NBI + PFT - tranfert Primes/points. Le montant obtenu est à multiplier par 12. Attention, si vous êtes à temps partiel, le montant doit être ramené à taux plein (voir ci-dessous)</t>
  </si>
  <si>
    <t>Pour les salariés sous convention collective à l'indice : dans le cas général, vous pouvez estimer votre RAB en prenant votre bulletin de paie : vous multipliez votre ligne salaire de base par 13. Attention, si vous êtes à temps partiel, le montant doit être ramené à taux plein (voir ci-dessous)</t>
  </si>
  <si>
    <t>Pour les salariés sous convention collective au forfait : dans le cas général,vous pouvez estimer votre RAB en prenant votre bulletin de paie : vous multipliez votre ligne salaire de base par 12. Attention, si vous êtes à temps partiel, le montant doit être ramené à taux plein (voir ci-dessous)</t>
  </si>
  <si>
    <t>Supplément prime exceptionnelle net</t>
  </si>
  <si>
    <t>Mettre "x" si vous êtes en carrière longue, sinon ne rien mettre</t>
  </si>
  <si>
    <t>Pour l'EPI, prendre la rubrique qui figure en haut de bulletin, avant le brut imposable "PART PATRONALE DE L'EPI" (rubrique C4Y ou BEP). Ne pas prendre la rubrique "CONTRIBUTION EPI"</t>
  </si>
  <si>
    <t>Pour le PEE, prendre la rubrique codée C73 pour les fonctionnaires ou C6P pour les CDI. Elle figure après le net imposable</t>
  </si>
  <si>
    <t>Pour le PERCO, prendre la rubrique codée C81 pour les fonctionnaires, C8Ppour les CDI. Elle figure après le net imposable</t>
  </si>
  <si>
    <r>
      <t xml:space="preserve">Une </t>
    </r>
    <r>
      <rPr>
        <b/>
        <sz val="10"/>
        <color theme="1"/>
        <rFont val="Arial"/>
        <family val="2"/>
      </rPr>
      <t>fiche technique</t>
    </r>
    <r>
      <rPr>
        <sz val="10"/>
        <color theme="1"/>
        <rFont val="Arial"/>
        <family val="2"/>
      </rPr>
      <t xml:space="preserve"> a été produite pour donner </t>
    </r>
    <r>
      <rPr>
        <b/>
        <sz val="10"/>
        <color theme="1"/>
        <rFont val="Arial"/>
        <family val="2"/>
      </rPr>
      <t>tous les détails utiles sur les différents dispositifs</t>
    </r>
    <r>
      <rPr>
        <sz val="10"/>
        <color theme="1"/>
        <rFont val="Arial"/>
        <family val="2"/>
      </rPr>
      <t xml:space="preserve">. Ce simulateur la complète, en permettant d'en approximer l'impact en fonction des différentes situations. </t>
    </r>
    <r>
      <rPr>
        <b/>
        <sz val="10"/>
        <color theme="1"/>
        <rFont val="Arial"/>
        <family val="2"/>
      </rPr>
      <t>Les éléments donnés sont purement estimatifs et constituent simplement un outil d'aide à la décision</t>
    </r>
    <r>
      <rPr>
        <sz val="10"/>
        <color theme="1"/>
        <rFont val="Arial"/>
        <family val="2"/>
      </rPr>
      <t xml:space="preserve"> pour les fonctionnaires et les salariés sous convention collective. Les personnels relevant d'autres statuts sont invités à s'adresser à leur conseiller RH. </t>
    </r>
  </si>
  <si>
    <r>
      <rPr>
        <b/>
        <sz val="10"/>
        <color theme="1"/>
        <rFont val="Arial"/>
        <family val="2"/>
      </rPr>
      <t>Les éléments donnés ne tiennent pas compte d'éventuelles augmentations de rémunération ou de changement d'indice, ni des évolutions réglementaires des plafonds ou des cotisations</t>
    </r>
    <r>
      <rPr>
        <sz val="10"/>
        <color theme="1"/>
        <rFont val="Arial"/>
        <family val="2"/>
      </rPr>
      <t xml:space="preserve">. Par ailleurs, ils ne tiennent pas compte du fait que le </t>
    </r>
    <r>
      <rPr>
        <b/>
        <sz val="10"/>
        <color theme="1"/>
        <rFont val="Arial"/>
        <family val="2"/>
      </rPr>
      <t>régime fiscal du PERCO</t>
    </r>
    <r>
      <rPr>
        <sz val="10"/>
        <color theme="1"/>
        <rFont val="Arial"/>
        <family val="2"/>
      </rPr>
      <t xml:space="preserve"> est plus favorable que celui de l'ancienne IDR. Cet avantage ne peut pas par définition être simulé car il dépend de chaque situation fiscale individuelle.</t>
    </r>
  </si>
  <si>
    <r>
      <t>Les éléments donnés s'agissant du montant d'IDR dégressif sont fondés sur l'IDR dite "simple".</t>
    </r>
    <r>
      <rPr>
        <sz val="10"/>
        <color theme="1"/>
        <rFont val="Arial"/>
        <family val="2"/>
      </rPr>
      <t xml:space="preserve"> 
Il convient néanmoins de préciser que l'indemnité de retraite supplémentaire entrera également bien dans le calcul des montants d'IDR dégressifs jusqu'en 2021, pour ceux qui en remplissent les conditions actuellement posées (handicap...). </t>
    </r>
  </si>
  <si>
    <t>Votre nombre d'années d'ancienneté au sein du groupe CDC (b)</t>
  </si>
  <si>
    <t>Cet élément est important pour déterminer votre éligilité au dispositif de jours d'accompagnement de fin de carrière</t>
  </si>
  <si>
    <t>Ces éléments permettent d'estimer le gain que vous apporteront les nouveaux plafonds d'abondement</t>
  </si>
  <si>
    <t>PRESENTATION DE L'OUTIL DE SIMULATION</t>
  </si>
  <si>
    <t>Taux comparant l'ancienne IDR et les nouveaux dispositifs financiers</t>
  </si>
  <si>
    <t>En plus, jours d'accompagnement de fin de carrière (carrière longue)</t>
  </si>
  <si>
    <t>6 -Jours d'accompagnement de fin de carrière (carrières longues)</t>
  </si>
  <si>
    <t>Les abondements employeur figurent sur votre bulletin de paie, à multiplier par 12, tant que le plafond n'est pas déjà atteint.</t>
  </si>
  <si>
    <t>Montant de la prime exceptionnelle 
(par an)</t>
  </si>
  <si>
    <t>Montant de la prime exceptionnelle 
(par an, situation revue chaque année)</t>
  </si>
  <si>
    <t>En sus du statut, 7 éléments au maximum sont à remplir (cases oranges)</t>
  </si>
  <si>
    <t xml:space="preserve">Abondement PËRCO maximum (16% PASS) </t>
  </si>
  <si>
    <t xml:space="preserve">Prime exceptionnelle </t>
  </si>
  <si>
    <t>€</t>
  </si>
  <si>
    <r>
      <rPr>
        <u/>
        <sz val="10"/>
        <color theme="1"/>
        <rFont val="Arial"/>
        <family val="2"/>
      </rPr>
      <t>Votre statut</t>
    </r>
    <r>
      <rPr>
        <sz val="10"/>
        <color theme="1"/>
        <rFont val="Arial"/>
        <family val="2"/>
      </rPr>
      <t xml:space="preserve">  : cochez </t>
    </r>
    <r>
      <rPr>
        <sz val="11"/>
        <color theme="1"/>
        <rFont val="Arial"/>
        <family val="2"/>
      </rPr>
      <t>la</t>
    </r>
    <r>
      <rPr>
        <sz val="10"/>
        <color theme="1"/>
        <rFont val="Arial"/>
        <family val="2"/>
      </rPr>
      <t xml:space="preserve"> case correspondante à votre statut,  fonctionnaire ou salarié sous convention collective (</t>
    </r>
    <r>
      <rPr>
        <b/>
        <sz val="10"/>
        <color theme="1"/>
        <rFont val="Arial"/>
        <family val="2"/>
      </rPr>
      <t>une seule case à cocher</t>
    </r>
    <r>
      <rPr>
        <sz val="10"/>
        <color theme="1"/>
        <rFont val="Arial"/>
        <family val="2"/>
      </rPr>
      <t>)</t>
    </r>
  </si>
  <si>
    <r>
      <rPr>
        <u/>
        <sz val="10"/>
        <color theme="1"/>
        <rFont val="Arial"/>
        <family val="2"/>
      </rPr>
      <t xml:space="preserve">Epargne salariale </t>
    </r>
    <r>
      <rPr>
        <sz val="10"/>
        <color theme="1"/>
        <rFont val="Arial"/>
        <family val="2"/>
      </rPr>
      <t>:</t>
    </r>
  </si>
  <si>
    <r>
      <rPr>
        <u/>
        <sz val="10"/>
        <color theme="1"/>
        <rFont val="Arial"/>
        <family val="2"/>
      </rPr>
      <t>Ancienneté</t>
    </r>
    <r>
      <rPr>
        <sz val="10"/>
        <color theme="1"/>
        <rFont val="Arial"/>
        <family val="2"/>
      </rPr>
      <t xml:space="preserve"> (en années) </t>
    </r>
    <r>
      <rPr>
        <sz val="10"/>
        <color rgb="FFFF0000"/>
        <rFont val="Arial"/>
        <family val="2"/>
      </rPr>
      <t>au moment du départ prévu</t>
    </r>
  </si>
  <si>
    <r>
      <rPr>
        <u/>
        <sz val="10"/>
        <color theme="1"/>
        <rFont val="Arial"/>
        <family val="2"/>
      </rPr>
      <t>Salaire brut annuel de base</t>
    </r>
    <r>
      <rPr>
        <sz val="10"/>
        <color theme="1"/>
        <rFont val="Arial"/>
        <family val="2"/>
      </rPr>
      <t xml:space="preserve"> (voir le volet "PRESENTATION" pour l'estimer)</t>
    </r>
  </si>
  <si>
    <t xml:space="preserve">Versement unilatéral sur le PERCO (inclus dans les 7000 euros, mise en œuvre à compter de 2022)                                                                                     </t>
  </si>
  <si>
    <r>
      <t>le fichier comporte quatre onglets :</t>
    </r>
    <r>
      <rPr>
        <sz val="10"/>
        <color theme="1"/>
        <rFont val="Arial"/>
        <family val="2"/>
      </rPr>
      <t xml:space="preserve"> le premier est explicatif, le second rappelle l'ensemble des mesures mises en place, le troisième permet de saisir les éléments nécessaires et d'établir son estimation personnelle (onglet rouge), le dernier donne des précisions sur les calculs effectués. </t>
    </r>
  </si>
  <si>
    <t>Rappel des dispositifs transitoires et/ou pérennes mis en place</t>
  </si>
  <si>
    <t>PEE : Pourcentage de rémunération qur représente l'abondement maximum sur le PEE</t>
  </si>
  <si>
    <t>20 ans d'ancienneté</t>
  </si>
  <si>
    <t xml:space="preserve">    =&gt; Montant de l'abondement CDC perçu sur les dispositifs PEE PERCO</t>
  </si>
  <si>
    <t xml:space="preserve">    =&gt; Montant de l'abondement CDC perçu sur le dispositif EPI                  </t>
  </si>
  <si>
    <t>Abondement employeur actuel sur le PEE</t>
  </si>
  <si>
    <t>Abondement employeur actuel sur le PERCO</t>
  </si>
  <si>
    <t>Abondement employeur actuel sur l'EPI</t>
  </si>
  <si>
    <t>Le "supplément d'abondement" représente le montant supplémentaire qu'il est possible de percevoir en optimisant les possibilités d''abondements employeur : Il est donc calculé par différence entre le montant perçu actuellement et le maximum, soit à compter de 2018 un montant de :</t>
  </si>
  <si>
    <r>
      <t xml:space="preserve">Abondements supplémentaires </t>
    </r>
    <r>
      <rPr>
        <u/>
        <sz val="10"/>
        <rFont val="Arial"/>
        <family val="2"/>
      </rPr>
      <t>cumulés</t>
    </r>
    <r>
      <rPr>
        <sz val="10"/>
        <rFont val="Arial"/>
        <family val="2"/>
      </rPr>
      <t xml:space="preserve"> (5 ans maxi) :</t>
    </r>
  </si>
  <si>
    <t>Supplément brut d'abondement épargne salariale supplémentaire annuel possible (atteindre sur le PERCO 6276 € et sur le PEE 724 €)</t>
  </si>
  <si>
    <r>
      <t xml:space="preserve">PERCO : Versements personnels au </t>
    </r>
    <r>
      <rPr>
        <b/>
        <sz val="9"/>
        <color theme="3"/>
        <rFont val="Arial"/>
        <family val="2"/>
      </rPr>
      <t>PERCO</t>
    </r>
    <r>
      <rPr>
        <sz val="9"/>
        <color theme="3"/>
        <rFont val="Arial"/>
        <family val="2"/>
      </rPr>
      <t xml:space="preserve"> afin de pouvoir bénéficier de 6276 euros d'abondement employeur</t>
    </r>
  </si>
  <si>
    <t>Possibilité de conserver la compensation EPI même en renonçant à l'abondement employeur sur l'EPI 
et en ouvrant un PEE et un PERCO (à compter de l'entrée dans le dispositif)</t>
  </si>
  <si>
    <r>
      <t xml:space="preserve">Primes exceptionnelles nettes </t>
    </r>
    <r>
      <rPr>
        <u/>
        <sz val="10"/>
        <rFont val="Arial"/>
        <family val="2"/>
      </rPr>
      <t>cumulées</t>
    </r>
    <r>
      <rPr>
        <sz val="10"/>
        <rFont val="Arial"/>
        <family val="2"/>
      </rPr>
      <t xml:space="preserve"> sur 4 ans maxi</t>
    </r>
  </si>
  <si>
    <t>Mettre "x", si votre indice est inférieur à 466 (fonctionnaire) ou 500 (salarié sous convention), sinon ne rien mettre</t>
  </si>
  <si>
    <t>Ajout cumulé sur le PERCO du versement unilatéral perçu avant l'entrée dans le dispositif de fin de carrière.</t>
  </si>
  <si>
    <t>RAPPEL DES TAUX DE CHARGE</t>
  </si>
  <si>
    <t>FONCTIONNAIRES : IDR</t>
  </si>
  <si>
    <t>FONCTIONNAIRES : PRIME EXCEPT</t>
  </si>
  <si>
    <t>FONCTIONNAIRES : PERCO</t>
  </si>
  <si>
    <t>SALARIES SS CONV : IDR</t>
  </si>
  <si>
    <t>SALARIES SS CONV : PRIME EXCEP</t>
  </si>
  <si>
    <t>SALARIES SS CONV : PERCO</t>
  </si>
  <si>
    <r>
      <t xml:space="preserve">Fonctionnaire         </t>
    </r>
    <r>
      <rPr>
        <sz val="11"/>
        <color theme="1"/>
        <rFont val="Arial"/>
        <family val="2"/>
      </rPr>
      <t>ou</t>
    </r>
  </si>
  <si>
    <r>
      <t xml:space="preserve">Versement périodique unilatéral PERCO : </t>
    </r>
    <r>
      <rPr>
        <b/>
        <sz val="9"/>
        <rFont val="Arial"/>
        <family val="2"/>
      </rPr>
      <t>450 € brut</t>
    </r>
    <r>
      <rPr>
        <sz val="9"/>
        <rFont val="Arial"/>
        <family val="2"/>
      </rPr>
      <t xml:space="preserve"> soit 414 € nets inclus dans le plafond des 7000 €.</t>
    </r>
  </si>
  <si>
    <r>
      <t>"</t>
    </r>
    <r>
      <rPr>
        <b/>
        <u/>
        <sz val="10"/>
        <color theme="1"/>
        <rFont val="Arial"/>
        <family val="2"/>
      </rPr>
      <t>Supplément d'abondement"</t>
    </r>
    <r>
      <rPr>
        <b/>
        <sz val="10"/>
        <color theme="1"/>
        <rFont val="Arial"/>
        <family val="2"/>
      </rPr>
      <t xml:space="preserve"> CDC brut possible par an sur les 5 années</t>
    </r>
  </si>
  <si>
    <r>
      <rPr>
        <b/>
        <sz val="10"/>
        <color theme="1"/>
        <rFont val="Arial"/>
        <family val="2"/>
      </rPr>
      <t>Les données fournies sont nettes de charges salariales</t>
    </r>
    <r>
      <rPr>
        <sz val="10"/>
        <color theme="1"/>
        <rFont val="Arial"/>
        <family val="2"/>
      </rPr>
      <t>, c'est-à-dire qu'un taux de charges salariales a été estimé,</t>
    </r>
    <r>
      <rPr>
        <sz val="10"/>
        <color rgb="FFFF0000"/>
        <rFont val="Arial"/>
        <family val="2"/>
      </rPr>
      <t xml:space="preserve"> au vu de la situation actuelle</t>
    </r>
  </si>
  <si>
    <r>
      <t xml:space="preserve">PEE : Estimation des versements personnels au </t>
    </r>
    <r>
      <rPr>
        <b/>
        <sz val="8"/>
        <color theme="3"/>
        <rFont val="Arial"/>
        <family val="2"/>
      </rPr>
      <t>PEE</t>
    </r>
    <r>
      <rPr>
        <sz val="8"/>
        <color theme="3"/>
        <rFont val="Arial"/>
        <family val="2"/>
      </rPr>
      <t xml:space="preserve"> afin de pouvoir bénéficier du maximum d'abondement</t>
    </r>
  </si>
  <si>
    <r>
      <t xml:space="preserve">Les personnes qui épargnent sur l'EPI peuvent ouvrir un PERCO et/ou un PEE et bénéficieront de la différence entre 7000 € et ce qu'elles épargnaient sur l'EPI, sachant que le régime fiscal du PERCO est plus avantageux. En outre, le bénéfice potentiel de la compensation EPI sera maintenu pour les agents </t>
    </r>
    <r>
      <rPr>
        <sz val="10"/>
        <color rgb="FFFF0000"/>
        <rFont val="Arial"/>
        <family val="2"/>
      </rPr>
      <t xml:space="preserve">qui pouvaient bénéficier de cette compensation EPI avant d'entrer dans le dispositif de fin de carrière et qui n'auront pas racheté leur EPI au moment de leur départ à la retraite. </t>
    </r>
  </si>
  <si>
    <t xml:space="preserve">Pour les agents éligibles aux nouveaux dispositifs de fin de carrière (cf conditions rappelées dans la fiche technique), le montant maximal d'abondement employeur sera de 6276 € pour le PERCO et 724 € pour le PEE, soit 7000 € au total. Ces plafonds seront atteints si la personne décide de placer 2092 € sur son PERCO et un pourcentage de rémunération nette imposable estimé dans le tableau pour atteindre 724 € d'abondement sur le PEE (Pour le passage du brut au net imposable, il a été pris en compte un taux de 22%). </t>
  </si>
  <si>
    <t>Le dispositif de prime exceptionnelle de fin de carrière prévu sur 2018-2021 (1250 € ou 1750 € selon les cas) permet d'accompagner cet effort d'épargne.</t>
  </si>
  <si>
    <t>Le plafond actuel d'épargne salariale est en 2017 de 2844 euros par produit PEE ou PERCO, et 3555 pour les deux produits. Il est de 2300 euros pour les abondements EPI maximum pour les publics après 57 ans. Ce chiffre de plafond est retenu dans la feuille de simulation.</t>
  </si>
  <si>
    <r>
      <t xml:space="preserve">% de rém à placer en versements mensuels pour l'abondement sur le </t>
    </r>
    <r>
      <rPr>
        <b/>
        <sz val="8"/>
        <rFont val="Arial"/>
        <family val="2"/>
      </rPr>
      <t>PEE (724 euros) : minimum 1% rem nette imposable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</si>
</sst>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43" formatCode="_-* #,##0.00\ _€_-;\-* #,##0.00\ _€_-;_-* &quot;-&quot;??\ _€_-;_-@_-"/>
    <numFmt numFmtId="164" formatCode="0.0%"/>
    <numFmt numFmtId="165" formatCode="#,##0.00_ ;\-#,##0.00\ "/>
  </numFmts>
  <fonts count="41" x14ac:knownFonts="1">
    <font>
      <sz val="10"/>
      <color theme="1"/>
      <name val="Arial"/>
      <family val="2"/>
    </font>
    <font>
      <sz val="10"/>
      <color theme="1"/>
      <name val="Arial"/>
      <family val="2"/>
    </font>
    <font>
      <b/>
      <sz val="10"/>
      <color theme="1"/>
      <name val="Arial"/>
      <family val="2"/>
    </font>
    <font>
      <sz val="12"/>
      <color theme="1"/>
      <name val="Arial"/>
      <family val="2"/>
    </font>
    <font>
      <sz val="10"/>
      <color rgb="FFFF0000"/>
      <name val="Arial"/>
      <family val="2"/>
    </font>
    <font>
      <sz val="10"/>
      <name val="Arial"/>
      <family val="2"/>
    </font>
    <font>
      <b/>
      <sz val="10"/>
      <color rgb="FF00B050"/>
      <name val="Arial"/>
      <family val="2"/>
    </font>
    <font>
      <sz val="10"/>
      <color rgb="FF00B050"/>
      <name val="Arial"/>
      <family val="2"/>
    </font>
    <font>
      <u/>
      <sz val="10"/>
      <color theme="1"/>
      <name val="Arial"/>
      <family val="2"/>
    </font>
    <font>
      <b/>
      <u/>
      <sz val="10"/>
      <color theme="1"/>
      <name val="Arial"/>
      <family val="2"/>
    </font>
    <font>
      <b/>
      <i/>
      <sz val="8"/>
      <color theme="1"/>
      <name val="Arial"/>
      <family val="2"/>
    </font>
    <font>
      <i/>
      <sz val="8"/>
      <color theme="1"/>
      <name val="Arial"/>
      <family val="2"/>
    </font>
    <font>
      <b/>
      <i/>
      <u/>
      <sz val="8"/>
      <color theme="1"/>
      <name val="Arial"/>
      <family val="2"/>
    </font>
    <font>
      <i/>
      <sz val="8"/>
      <name val="Arial"/>
      <family val="2"/>
    </font>
    <font>
      <b/>
      <sz val="12"/>
      <color theme="1"/>
      <name val="Arial"/>
      <family val="2"/>
    </font>
    <font>
      <b/>
      <sz val="10"/>
      <name val="Arial"/>
      <family val="2"/>
    </font>
    <font>
      <b/>
      <sz val="10"/>
      <color theme="3"/>
      <name val="Arial"/>
      <family val="2"/>
    </font>
    <font>
      <sz val="8"/>
      <color theme="3"/>
      <name val="Arial"/>
      <family val="2"/>
    </font>
    <font>
      <sz val="10"/>
      <color theme="3"/>
      <name val="Arial"/>
      <family val="2"/>
    </font>
    <font>
      <b/>
      <sz val="8"/>
      <color theme="3"/>
      <name val="Arial"/>
      <family val="2"/>
    </font>
    <font>
      <i/>
      <sz val="10"/>
      <name val="Arial"/>
      <family val="2"/>
    </font>
    <font>
      <b/>
      <i/>
      <sz val="10"/>
      <name val="Arial"/>
      <family val="2"/>
    </font>
    <font>
      <b/>
      <sz val="10"/>
      <color rgb="FF7030A0"/>
      <name val="Arial"/>
      <family val="2"/>
    </font>
    <font>
      <sz val="11"/>
      <color theme="1"/>
      <name val="Arial"/>
      <family val="2"/>
    </font>
    <font>
      <sz val="9"/>
      <color theme="1"/>
      <name val="Arial"/>
      <family val="2"/>
    </font>
    <font>
      <sz val="9"/>
      <name val="Arial"/>
      <family val="2"/>
    </font>
    <font>
      <b/>
      <i/>
      <sz val="8"/>
      <name val="Arial"/>
      <family val="2"/>
    </font>
    <font>
      <b/>
      <sz val="11"/>
      <color theme="1"/>
      <name val="Arial"/>
      <family val="2"/>
    </font>
    <font>
      <b/>
      <u/>
      <sz val="11"/>
      <color theme="1"/>
      <name val="Arial"/>
      <family val="2"/>
    </font>
    <font>
      <b/>
      <u/>
      <sz val="11"/>
      <name val="Arial"/>
      <family val="2"/>
    </font>
    <font>
      <u/>
      <sz val="10"/>
      <name val="Arial"/>
      <family val="2"/>
    </font>
    <font>
      <i/>
      <sz val="10"/>
      <color theme="1"/>
      <name val="Arial"/>
      <family val="2"/>
    </font>
    <font>
      <b/>
      <vertAlign val="superscript"/>
      <sz val="12"/>
      <color theme="1"/>
      <name val="Arial"/>
      <family val="2"/>
    </font>
    <font>
      <sz val="8"/>
      <name val="Arial"/>
      <family val="2"/>
    </font>
    <font>
      <sz val="8"/>
      <color theme="1"/>
      <name val="Arial"/>
      <family val="2"/>
    </font>
    <font>
      <b/>
      <sz val="8"/>
      <name val="Arial"/>
      <family val="2"/>
    </font>
    <font>
      <sz val="9"/>
      <color theme="3"/>
      <name val="Arial"/>
      <family val="2"/>
    </font>
    <font>
      <b/>
      <sz val="9"/>
      <color theme="3"/>
      <name val="Arial"/>
      <family val="2"/>
    </font>
    <font>
      <i/>
      <sz val="8"/>
      <color theme="3"/>
      <name val="Arial"/>
      <family val="2"/>
    </font>
    <font>
      <b/>
      <sz val="9"/>
      <name val="Arial"/>
      <family val="2"/>
    </font>
    <font>
      <b/>
      <sz val="10"/>
      <color rgb="FFFF0000"/>
      <name val="Arial"/>
      <family val="2"/>
    </font>
  </fonts>
  <fills count="13">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91">
    <xf numFmtId="0" fontId="0" fillId="0" borderId="0" xfId="0"/>
    <xf numFmtId="0" fontId="4" fillId="0" borderId="0" xfId="0" applyFont="1" applyBorder="1"/>
    <xf numFmtId="0" fontId="0" fillId="2" borderId="0" xfId="0" applyFill="1" applyAlignment="1">
      <alignment horizontal="center" vertical="center"/>
    </xf>
    <xf numFmtId="0" fontId="0" fillId="0" borderId="7" xfId="0" applyBorder="1" applyAlignment="1">
      <alignment vertical="center"/>
    </xf>
    <xf numFmtId="0" fontId="0" fillId="0" borderId="7" xfId="0" applyBorder="1" applyAlignment="1">
      <alignment wrapText="1"/>
    </xf>
    <xf numFmtId="0" fontId="0" fillId="0" borderId="7" xfId="0" applyFill="1" applyBorder="1" applyAlignment="1">
      <alignment vertical="center"/>
    </xf>
    <xf numFmtId="0" fontId="9" fillId="0" borderId="4" xfId="0" applyFont="1" applyBorder="1" applyAlignment="1">
      <alignment vertical="center"/>
    </xf>
    <xf numFmtId="0" fontId="9" fillId="0" borderId="4" xfId="0" applyFont="1" applyBorder="1" applyAlignment="1">
      <alignment wrapText="1"/>
    </xf>
    <xf numFmtId="0" fontId="0" fillId="0" borderId="3" xfId="0" applyBorder="1" applyAlignment="1">
      <alignment vertical="center" wrapText="1"/>
    </xf>
    <xf numFmtId="0" fontId="3" fillId="0" borderId="2" xfId="0" applyFont="1" applyBorder="1" applyAlignment="1">
      <alignment vertical="center"/>
    </xf>
    <xf numFmtId="0" fontId="3" fillId="0" borderId="12" xfId="0" applyFont="1" applyBorder="1" applyAlignment="1">
      <alignment horizontal="left" vertical="center"/>
    </xf>
    <xf numFmtId="0" fontId="11" fillId="0" borderId="0" xfId="0" applyFont="1" applyBorder="1" applyAlignment="1">
      <alignment horizontal="left"/>
    </xf>
    <xf numFmtId="0" fontId="12" fillId="0" borderId="9"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2" fillId="0" borderId="9" xfId="0" applyFont="1" applyBorder="1" applyAlignment="1">
      <alignment horizontal="left" wrapText="1"/>
    </xf>
    <xf numFmtId="0" fontId="11" fillId="0" borderId="0" xfId="0" applyFont="1" applyAlignment="1">
      <alignment horizontal="left"/>
    </xf>
    <xf numFmtId="0" fontId="11" fillId="0" borderId="10" xfId="0" applyFont="1" applyFill="1" applyBorder="1" applyAlignment="1">
      <alignment horizontal="left" vertical="center" wrapText="1"/>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applyAlignment="1">
      <alignment horizontal="left" vertical="center" wrapText="1"/>
    </xf>
    <xf numFmtId="0" fontId="0" fillId="0" borderId="3" xfId="0" applyFill="1" applyBorder="1" applyAlignment="1">
      <alignment horizontal="left" vertical="center" wrapText="1"/>
    </xf>
    <xf numFmtId="0" fontId="0" fillId="3" borderId="7" xfId="0" applyFill="1" applyBorder="1" applyAlignment="1">
      <alignment vertical="center"/>
    </xf>
    <xf numFmtId="0" fontId="11" fillId="3" borderId="0" xfId="0" applyFont="1" applyFill="1" applyBorder="1" applyAlignment="1">
      <alignment horizontal="left" vertical="center"/>
    </xf>
    <xf numFmtId="0" fontId="0" fillId="4" borderId="7" xfId="0" applyFill="1" applyBorder="1" applyAlignment="1">
      <alignment vertical="center" wrapText="1"/>
    </xf>
    <xf numFmtId="0" fontId="11" fillId="4" borderId="0" xfId="0" applyFont="1" applyFill="1" applyBorder="1" applyAlignment="1">
      <alignment horizontal="left" vertical="center" wrapText="1"/>
    </xf>
    <xf numFmtId="0" fontId="0" fillId="5" borderId="9" xfId="0" applyFill="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3" fontId="17" fillId="0" borderId="13" xfId="0" applyNumberFormat="1" applyFont="1" applyBorder="1" applyAlignment="1">
      <alignment horizontal="center" vertical="center"/>
    </xf>
    <xf numFmtId="3" fontId="19" fillId="3" borderId="7" xfId="0" applyNumberFormat="1" applyFont="1" applyFill="1" applyBorder="1" applyAlignment="1">
      <alignment horizontal="center" vertical="center"/>
    </xf>
    <xf numFmtId="3" fontId="19" fillId="3" borderId="13" xfId="0" applyNumberFormat="1" applyFont="1" applyFill="1" applyBorder="1" applyAlignment="1">
      <alignment horizontal="center" vertical="center"/>
    </xf>
    <xf numFmtId="3" fontId="19" fillId="4" borderId="2" xfId="0" applyNumberFormat="1" applyFont="1" applyFill="1" applyBorder="1" applyAlignment="1">
      <alignment horizontal="center" vertical="center"/>
    </xf>
    <xf numFmtId="3" fontId="19" fillId="4" borderId="1" xfId="0" applyNumberFormat="1" applyFont="1" applyFill="1" applyBorder="1" applyAlignment="1">
      <alignment horizontal="center" vertical="center"/>
    </xf>
    <xf numFmtId="9" fontId="19" fillId="4" borderId="2" xfId="1" applyFont="1" applyFill="1" applyBorder="1" applyAlignment="1">
      <alignment horizontal="center" vertical="center"/>
    </xf>
    <xf numFmtId="0" fontId="0" fillId="0" borderId="0" xfId="0" applyFill="1"/>
    <xf numFmtId="0" fontId="0" fillId="0" borderId="0" xfId="0" applyAlignment="1">
      <alignment vertical="center"/>
    </xf>
    <xf numFmtId="0" fontId="11" fillId="0" borderId="1" xfId="0" applyFont="1" applyBorder="1" applyAlignment="1">
      <alignment horizontal="left" vertical="center"/>
    </xf>
    <xf numFmtId="0" fontId="0" fillId="0" borderId="1" xfId="0" applyBorder="1" applyAlignment="1">
      <alignment vertical="center" wrapText="1"/>
    </xf>
    <xf numFmtId="0" fontId="13" fillId="0" borderId="6" xfId="0" applyFont="1" applyFill="1" applyBorder="1" applyAlignment="1">
      <alignment horizontal="left" vertical="center" wrapText="1"/>
    </xf>
    <xf numFmtId="0" fontId="0" fillId="5" borderId="6" xfId="0" applyFill="1" applyBorder="1" applyAlignment="1">
      <alignment horizontal="center" vertical="center"/>
    </xf>
    <xf numFmtId="3" fontId="17" fillId="0" borderId="7" xfId="0" applyNumberFormat="1" applyFont="1" applyBorder="1" applyAlignment="1">
      <alignment horizontal="center" vertical="center"/>
    </xf>
    <xf numFmtId="0" fontId="18" fillId="0" borderId="6" xfId="0" applyFont="1" applyBorder="1" applyAlignment="1">
      <alignment horizontal="center" vertical="center"/>
    </xf>
    <xf numFmtId="3" fontId="17" fillId="0" borderId="3"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3" xfId="0" applyNumberFormat="1" applyFont="1" applyBorder="1" applyAlignment="1">
      <alignment horizontal="center" vertical="center"/>
    </xf>
    <xf numFmtId="3" fontId="17" fillId="0" borderId="11" xfId="0" applyNumberFormat="1" applyFont="1" applyBorder="1" applyAlignment="1">
      <alignment horizontal="center" vertical="center"/>
    </xf>
    <xf numFmtId="0" fontId="0" fillId="0" borderId="7" xfId="0" applyBorder="1" applyAlignment="1">
      <alignment vertical="center" wrapText="1"/>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2"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13" fillId="0" borderId="9" xfId="0" applyFont="1" applyFill="1" applyBorder="1" applyAlignment="1">
      <alignment horizontal="left" wrapText="1"/>
    </xf>
    <xf numFmtId="0" fontId="13" fillId="0" borderId="0" xfId="0" applyFont="1" applyFill="1" applyBorder="1" applyAlignment="1">
      <alignment horizontal="left" wrapText="1"/>
    </xf>
    <xf numFmtId="0" fontId="13" fillId="0" borderId="10" xfId="0" applyFont="1" applyFill="1" applyBorder="1" applyAlignment="1">
      <alignment horizontal="left" wrapText="1"/>
    </xf>
    <xf numFmtId="0" fontId="5" fillId="0" borderId="7" xfId="0" applyFont="1" applyFill="1" applyBorder="1" applyAlignment="1">
      <alignment wrapText="1"/>
    </xf>
    <xf numFmtId="0" fontId="5" fillId="0" borderId="3" xfId="0" applyFont="1" applyFill="1" applyBorder="1" applyAlignment="1">
      <alignment wrapText="1"/>
    </xf>
    <xf numFmtId="0" fontId="15" fillId="0" borderId="4" xfId="0" applyFont="1" applyFill="1" applyBorder="1" applyAlignment="1">
      <alignment wrapText="1"/>
    </xf>
    <xf numFmtId="0" fontId="9" fillId="0" borderId="0" xfId="0" applyFont="1" applyBorder="1" applyAlignment="1">
      <alignment vertical="center"/>
    </xf>
    <xf numFmtId="0" fontId="9" fillId="0" borderId="0" xfId="0" applyFont="1" applyFill="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8" fillId="0" borderId="0" xfId="0" applyFont="1" applyBorder="1" applyAlignment="1">
      <alignment horizontal="center" vertical="center"/>
    </xf>
    <xf numFmtId="0" fontId="25" fillId="0" borderId="7" xfId="0" applyFont="1" applyFill="1" applyBorder="1" applyAlignment="1">
      <alignment horizontal="left" vertical="center" wrapText="1"/>
    </xf>
    <xf numFmtId="0" fontId="0" fillId="5" borderId="4" xfId="0" applyFont="1" applyFill="1" applyBorder="1" applyAlignment="1">
      <alignment horizontal="left" vertical="center"/>
    </xf>
    <xf numFmtId="0" fontId="10" fillId="5" borderId="9" xfId="0" applyFont="1" applyFill="1" applyBorder="1" applyAlignment="1">
      <alignment horizontal="left" vertical="center"/>
    </xf>
    <xf numFmtId="0" fontId="0" fillId="5" borderId="8" xfId="0" applyFill="1" applyBorder="1" applyAlignment="1">
      <alignment horizontal="center" vertical="center"/>
    </xf>
    <xf numFmtId="0" fontId="0" fillId="5" borderId="7" xfId="0" applyFont="1" applyFill="1" applyBorder="1" applyAlignment="1">
      <alignment horizontal="right" vertical="center"/>
    </xf>
    <xf numFmtId="0" fontId="0"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0" xfId="0" applyFont="1" applyFill="1" applyBorder="1" applyAlignment="1">
      <alignment horizontal="left" vertical="center"/>
    </xf>
    <xf numFmtId="0" fontId="0" fillId="5" borderId="0" xfId="0" applyFill="1" applyBorder="1" applyAlignment="1">
      <alignment horizontal="right" vertical="center"/>
    </xf>
    <xf numFmtId="0" fontId="0" fillId="5" borderId="3" xfId="0" applyFont="1" applyFill="1" applyBorder="1" applyAlignment="1">
      <alignment horizontal="left" vertical="center"/>
    </xf>
    <xf numFmtId="0" fontId="0" fillId="5" borderId="10" xfId="0" applyFill="1" applyBorder="1" applyAlignment="1">
      <alignment horizontal="right" vertical="center"/>
    </xf>
    <xf numFmtId="0" fontId="0" fillId="5" borderId="10" xfId="0" applyFont="1" applyFill="1" applyBorder="1" applyAlignment="1">
      <alignment horizontal="left"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3" fillId="3" borderId="2" xfId="0" applyFont="1" applyFill="1" applyBorder="1" applyAlignment="1">
      <alignment vertical="center"/>
    </xf>
    <xf numFmtId="0" fontId="3" fillId="3" borderId="5" xfId="0" applyFont="1" applyFill="1" applyBorder="1" applyAlignment="1">
      <alignment horizontal="left" vertical="center"/>
    </xf>
    <xf numFmtId="41" fontId="5" fillId="3" borderId="7" xfId="2" applyNumberFormat="1" applyFont="1" applyFill="1" applyBorder="1" applyAlignment="1" applyProtection="1">
      <alignment horizontal="center"/>
      <protection locked="0"/>
    </xf>
    <xf numFmtId="41" fontId="5" fillId="3" borderId="6" xfId="2" applyNumberFormat="1" applyFont="1" applyFill="1" applyBorder="1" applyAlignment="1" applyProtection="1">
      <alignment horizontal="center"/>
      <protection locked="0"/>
    </xf>
    <xf numFmtId="0" fontId="0" fillId="3" borderId="7" xfId="0" applyFill="1" applyBorder="1" applyAlignment="1">
      <alignment vertical="center" wrapText="1"/>
    </xf>
    <xf numFmtId="0" fontId="11" fillId="3" borderId="0" xfId="0" applyFont="1" applyFill="1" applyBorder="1" applyAlignment="1">
      <alignment horizontal="left" vertical="center" wrapText="1"/>
    </xf>
    <xf numFmtId="0" fontId="0" fillId="3" borderId="7" xfId="0" applyFont="1" applyFill="1" applyBorder="1" applyAlignment="1">
      <alignment vertical="center"/>
    </xf>
    <xf numFmtId="164" fontId="5" fillId="3" borderId="7" xfId="1"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164" fontId="5" fillId="3" borderId="0" xfId="1" applyNumberFormat="1" applyFont="1" applyFill="1" applyBorder="1" applyAlignment="1">
      <alignment horizontal="center" vertical="center"/>
    </xf>
    <xf numFmtId="0" fontId="11" fillId="3" borderId="10" xfId="0" applyFont="1" applyFill="1" applyBorder="1" applyAlignment="1">
      <alignment horizontal="left" vertical="center"/>
    </xf>
    <xf numFmtId="0" fontId="5" fillId="0" borderId="4" xfId="0" applyFont="1" applyFill="1" applyBorder="1" applyAlignment="1">
      <alignment vertical="center"/>
    </xf>
    <xf numFmtId="0" fontId="26" fillId="0" borderId="9" xfId="0" applyFont="1" applyFill="1" applyBorder="1" applyAlignment="1">
      <alignment horizontal="left"/>
    </xf>
    <xf numFmtId="0" fontId="5" fillId="0" borderId="7" xfId="0" applyFont="1" applyFill="1" applyBorder="1" applyAlignment="1">
      <alignment vertical="center"/>
    </xf>
    <xf numFmtId="0" fontId="26" fillId="0" borderId="0" xfId="0" applyFont="1" applyFill="1" applyBorder="1" applyAlignment="1">
      <alignment horizontal="left"/>
    </xf>
    <xf numFmtId="0" fontId="16" fillId="0" borderId="9" xfId="0" applyFont="1" applyBorder="1" applyAlignment="1">
      <alignment horizontal="center" vertical="center"/>
    </xf>
    <xf numFmtId="0" fontId="0" fillId="3" borderId="4" xfId="0" applyFill="1" applyBorder="1" applyAlignment="1">
      <alignment vertical="center"/>
    </xf>
    <xf numFmtId="0" fontId="11" fillId="3" borderId="9" xfId="0" applyFont="1" applyFill="1" applyBorder="1" applyAlignment="1">
      <alignment horizontal="left" vertical="center"/>
    </xf>
    <xf numFmtId="0" fontId="15" fillId="7" borderId="7"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14" fillId="0" borderId="0" xfId="0" applyFont="1" applyFill="1" applyAlignment="1">
      <alignment horizontal="center" vertical="center" wrapText="1"/>
    </xf>
    <xf numFmtId="0" fontId="3" fillId="0" borderId="0" xfId="0" applyFont="1" applyFill="1" applyAlignment="1">
      <alignment horizontal="center" wrapText="1"/>
    </xf>
    <xf numFmtId="0" fontId="0" fillId="3" borderId="7" xfId="0" applyFont="1" applyFill="1" applyBorder="1" applyAlignment="1">
      <alignment horizontal="righ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3" fillId="0" borderId="0" xfId="0" applyFont="1" applyBorder="1" applyAlignment="1">
      <alignment horizontal="center" vertical="center"/>
    </xf>
    <xf numFmtId="0" fontId="5" fillId="8" borderId="3" xfId="0" applyFont="1" applyFill="1" applyBorder="1" applyAlignment="1">
      <alignment horizontal="left" vertical="center" wrapText="1"/>
    </xf>
    <xf numFmtId="0" fontId="20" fillId="8" borderId="11" xfId="0" applyFont="1" applyFill="1" applyBorder="1" applyAlignment="1">
      <alignment horizontal="left" vertical="center" wrapText="1"/>
    </xf>
    <xf numFmtId="0" fontId="0" fillId="3" borderId="3" xfId="0" applyFont="1" applyFill="1" applyBorder="1" applyAlignment="1">
      <alignment vertical="center"/>
    </xf>
    <xf numFmtId="164" fontId="5" fillId="3" borderId="3" xfId="1" applyNumberFormat="1" applyFont="1" applyFill="1" applyBorder="1" applyAlignment="1">
      <alignment horizontal="center" vertical="center"/>
    </xf>
    <xf numFmtId="0" fontId="5" fillId="3" borderId="11" xfId="0" applyFont="1" applyFill="1" applyBorder="1" applyAlignment="1">
      <alignment horizontal="center" vertical="center"/>
    </xf>
    <xf numFmtId="164" fontId="5" fillId="3" borderId="10" xfId="1" applyNumberFormat="1" applyFont="1" applyFill="1" applyBorder="1" applyAlignment="1">
      <alignment horizontal="center" vertical="center"/>
    </xf>
    <xf numFmtId="0" fontId="5" fillId="3" borderId="10" xfId="0" applyFont="1" applyFill="1" applyBorder="1" applyAlignment="1">
      <alignment horizontal="center" vertical="center"/>
    </xf>
    <xf numFmtId="9" fontId="0" fillId="3" borderId="7" xfId="1" applyFont="1" applyFill="1" applyBorder="1" applyAlignment="1">
      <alignment horizontal="center" vertical="center"/>
    </xf>
    <xf numFmtId="9" fontId="0" fillId="3" borderId="6" xfId="1" applyFont="1" applyFill="1" applyBorder="1" applyAlignment="1">
      <alignment horizontal="center" vertical="center"/>
    </xf>
    <xf numFmtId="9" fontId="0" fillId="3" borderId="0" xfId="1" applyFont="1" applyFill="1" applyBorder="1" applyAlignment="1">
      <alignment horizontal="center" vertical="center"/>
    </xf>
    <xf numFmtId="41" fontId="5" fillId="3" borderId="0" xfId="2" applyNumberFormat="1" applyFont="1" applyFill="1" applyBorder="1" applyAlignment="1" applyProtection="1">
      <alignment horizontal="center"/>
      <protection locked="0"/>
    </xf>
    <xf numFmtId="0" fontId="0" fillId="3" borderId="7" xfId="0" applyFill="1" applyBorder="1" applyAlignment="1">
      <alignment horizontal="right" vertical="center"/>
    </xf>
    <xf numFmtId="0" fontId="26" fillId="4" borderId="12" xfId="0" applyFont="1" applyFill="1" applyBorder="1" applyAlignment="1">
      <alignment horizontal="left" vertical="center" wrapText="1"/>
    </xf>
    <xf numFmtId="0" fontId="26" fillId="4" borderId="5" xfId="0" applyFont="1" applyFill="1" applyBorder="1" applyAlignment="1">
      <alignment horizontal="left" vertical="center" wrapText="1"/>
    </xf>
    <xf numFmtId="3" fontId="17" fillId="0" borderId="7" xfId="0" applyNumberFormat="1" applyFont="1" applyBorder="1" applyAlignment="1">
      <alignment horizontal="center" vertical="center"/>
    </xf>
    <xf numFmtId="0" fontId="18" fillId="0" borderId="6" xfId="0" applyFont="1" applyBorder="1" applyAlignment="1">
      <alignment horizontal="center" vertical="center"/>
    </xf>
    <xf numFmtId="0" fontId="0" fillId="9" borderId="1" xfId="0" applyFill="1" applyBorder="1" applyAlignment="1" applyProtection="1">
      <alignment horizontal="center" vertical="center"/>
      <protection locked="0"/>
    </xf>
    <xf numFmtId="0" fontId="0" fillId="9" borderId="1" xfId="0" applyFill="1" applyBorder="1" applyAlignment="1" applyProtection="1">
      <alignment horizontal="left" vertical="center"/>
      <protection locked="0"/>
    </xf>
    <xf numFmtId="0" fontId="31" fillId="0" borderId="7" xfId="0" applyFont="1" applyBorder="1" applyAlignment="1">
      <alignment vertical="center"/>
    </xf>
    <xf numFmtId="0" fontId="0"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5" fillId="11" borderId="2" xfId="0" applyFont="1" applyFill="1" applyBorder="1" applyAlignment="1">
      <alignment horizontal="left" vertical="center" wrapText="1"/>
    </xf>
    <xf numFmtId="0" fontId="20" fillId="11" borderId="5"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5" fillId="4"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0" fillId="0" borderId="5" xfId="0" applyFill="1" applyBorder="1" applyAlignment="1"/>
    <xf numFmtId="0" fontId="14" fillId="12" borderId="15" xfId="0" applyFont="1" applyFill="1" applyBorder="1" applyAlignment="1">
      <alignment horizontal="center"/>
    </xf>
    <xf numFmtId="0" fontId="0" fillId="12" borderId="0" xfId="0" applyFill="1" applyBorder="1" applyAlignment="1">
      <alignment horizontal="center"/>
    </xf>
    <xf numFmtId="0" fontId="0" fillId="12" borderId="16" xfId="0" applyFill="1" applyBorder="1" applyAlignment="1">
      <alignment horizontal="center"/>
    </xf>
    <xf numFmtId="0" fontId="0" fillId="12" borderId="15" xfId="0" applyFill="1" applyBorder="1"/>
    <xf numFmtId="0" fontId="0" fillId="12" borderId="0" xfId="0" applyFill="1" applyBorder="1" applyAlignment="1">
      <alignment wrapText="1"/>
    </xf>
    <xf numFmtId="0" fontId="0" fillId="12" borderId="16" xfId="0" applyFill="1" applyBorder="1" applyAlignment="1">
      <alignment wrapText="1"/>
    </xf>
    <xf numFmtId="0" fontId="0" fillId="12" borderId="0" xfId="0" applyFill="1" applyBorder="1"/>
    <xf numFmtId="0" fontId="0" fillId="12" borderId="16" xfId="0" applyFill="1" applyBorder="1"/>
    <xf numFmtId="0" fontId="2" fillId="12" borderId="0" xfId="0" applyFont="1" applyFill="1" applyBorder="1" applyAlignment="1">
      <alignment wrapText="1"/>
    </xf>
    <xf numFmtId="10" fontId="0" fillId="12" borderId="0" xfId="0" applyNumberFormat="1" applyFill="1" applyBorder="1"/>
    <xf numFmtId="9" fontId="0" fillId="12" borderId="0" xfId="0" applyNumberFormat="1" applyFill="1" applyBorder="1"/>
    <xf numFmtId="0" fontId="2" fillId="12" borderId="0" xfId="0" applyFont="1" applyFill="1" applyBorder="1" applyAlignment="1">
      <alignment vertical="center"/>
    </xf>
    <xf numFmtId="0" fontId="2" fillId="12" borderId="0" xfId="0" applyFont="1" applyFill="1" applyBorder="1"/>
    <xf numFmtId="16" fontId="0" fillId="12" borderId="0" xfId="0" applyNumberFormat="1" applyFill="1" applyBorder="1"/>
    <xf numFmtId="0" fontId="5" fillId="12" borderId="0" xfId="0" applyFont="1" applyFill="1" applyBorder="1"/>
    <xf numFmtId="0" fontId="5" fillId="12" borderId="16" xfId="0" applyFont="1" applyFill="1" applyBorder="1"/>
    <xf numFmtId="0" fontId="0" fillId="12" borderId="17" xfId="0" applyFill="1" applyBorder="1"/>
    <xf numFmtId="0" fontId="0" fillId="12" borderId="18" xfId="0" applyFill="1" applyBorder="1"/>
    <xf numFmtId="0" fontId="0" fillId="12" borderId="19" xfId="0" applyFill="1" applyBorder="1"/>
    <xf numFmtId="0" fontId="2" fillId="12" borderId="0" xfId="0" applyFont="1" applyFill="1" applyAlignment="1">
      <alignment horizontal="center" vertical="center" wrapText="1"/>
    </xf>
    <xf numFmtId="0" fontId="0" fillId="12" borderId="0" xfId="0" applyFill="1" applyAlignment="1">
      <alignment horizontal="center" wrapText="1"/>
    </xf>
    <xf numFmtId="0" fontId="28" fillId="12" borderId="0" xfId="0" applyFont="1" applyFill="1" applyAlignment="1">
      <alignment horizontal="left" vertical="center"/>
    </xf>
    <xf numFmtId="0" fontId="12" fillId="12" borderId="0" xfId="0" applyFont="1" applyFill="1" applyAlignment="1">
      <alignment horizontal="left" vertical="center"/>
    </xf>
    <xf numFmtId="0" fontId="8" fillId="12" borderId="0" xfId="0" applyFont="1" applyFill="1" applyAlignment="1">
      <alignment horizontal="center" vertical="center"/>
    </xf>
    <xf numFmtId="0" fontId="0" fillId="12" borderId="0" xfId="0" applyFill="1" applyAlignment="1">
      <alignment horizontal="center" vertical="center"/>
    </xf>
    <xf numFmtId="0" fontId="4" fillId="12" borderId="0" xfId="0" applyFont="1" applyFill="1" applyAlignment="1">
      <alignment horizontal="left" vertical="center"/>
    </xf>
    <xf numFmtId="0" fontId="0" fillId="12" borderId="0" xfId="0" applyFill="1"/>
    <xf numFmtId="0" fontId="2" fillId="12" borderId="0" xfId="0" applyFont="1" applyFill="1" applyAlignment="1">
      <alignment horizontal="left" vertical="center"/>
    </xf>
    <xf numFmtId="0" fontId="10" fillId="12" borderId="0" xfId="0" applyFont="1" applyFill="1" applyAlignment="1">
      <alignment horizontal="left" vertical="center"/>
    </xf>
    <xf numFmtId="0" fontId="0" fillId="12" borderId="0" xfId="0" applyFill="1" applyAlignment="1">
      <alignment wrapText="1"/>
    </xf>
    <xf numFmtId="0" fontId="0" fillId="12" borderId="0" xfId="0" applyFill="1" applyAlignment="1">
      <alignment horizontal="right" vertical="center" wrapText="1"/>
    </xf>
    <xf numFmtId="0" fontId="0" fillId="12" borderId="0" xfId="0" applyFill="1" applyAlignment="1">
      <alignment vertical="center"/>
    </xf>
    <xf numFmtId="0" fontId="0" fillId="12" borderId="0" xfId="0" applyFill="1" applyAlignment="1">
      <alignment horizontal="right" vertical="center"/>
    </xf>
    <xf numFmtId="0" fontId="11" fillId="12" borderId="0" xfId="0" applyFont="1" applyFill="1" applyBorder="1" applyAlignment="1">
      <alignment horizontal="left"/>
    </xf>
    <xf numFmtId="0" fontId="4" fillId="12" borderId="0" xfId="0" applyFont="1" applyFill="1" applyBorder="1"/>
    <xf numFmtId="0" fontId="0" fillId="12" borderId="0" xfId="0" applyFill="1" applyBorder="1" applyAlignment="1">
      <alignment vertical="center"/>
    </xf>
    <xf numFmtId="0" fontId="4" fillId="12" borderId="0" xfId="0" applyFont="1" applyFill="1"/>
    <xf numFmtId="0" fontId="11" fillId="12" borderId="0" xfId="0" applyFont="1" applyFill="1" applyAlignment="1">
      <alignment horizontal="left"/>
    </xf>
    <xf numFmtId="0" fontId="3" fillId="12" borderId="0" xfId="0" applyFont="1" applyFill="1" applyBorder="1" applyAlignment="1">
      <alignment horizontal="center" vertical="center"/>
    </xf>
    <xf numFmtId="0" fontId="0" fillId="12" borderId="0" xfId="0" applyFill="1" applyBorder="1" applyAlignment="1">
      <alignment horizontal="center" vertical="center"/>
    </xf>
    <xf numFmtId="0" fontId="29" fillId="12" borderId="0" xfId="0" applyFont="1" applyFill="1" applyBorder="1" applyAlignment="1">
      <alignment horizontal="left" vertical="center"/>
    </xf>
    <xf numFmtId="0" fontId="26" fillId="12" borderId="0" xfId="0" applyFont="1" applyFill="1" applyBorder="1" applyAlignment="1">
      <alignment horizontal="left" vertical="center"/>
    </xf>
    <xf numFmtId="0" fontId="15" fillId="12" borderId="0" xfId="0" applyFont="1" applyFill="1" applyBorder="1" applyAlignment="1">
      <alignment horizontal="center" vertical="center"/>
    </xf>
    <xf numFmtId="0" fontId="3" fillId="12" borderId="2" xfId="0" applyFont="1" applyFill="1" applyBorder="1" applyAlignment="1">
      <alignment vertical="center"/>
    </xf>
    <xf numFmtId="0" fontId="3" fillId="12" borderId="5" xfId="0" applyFont="1" applyFill="1" applyBorder="1" applyAlignment="1">
      <alignment horizontal="left" vertical="center"/>
    </xf>
    <xf numFmtId="0" fontId="0" fillId="12" borderId="4" xfId="0" applyFill="1" applyBorder="1" applyAlignment="1">
      <alignment vertical="center"/>
    </xf>
    <xf numFmtId="0" fontId="11" fillId="12" borderId="9" xfId="0" applyFont="1" applyFill="1" applyBorder="1" applyAlignment="1">
      <alignment horizontal="left" vertical="center"/>
    </xf>
    <xf numFmtId="9" fontId="0" fillId="12" borderId="7" xfId="1" applyFont="1" applyFill="1" applyBorder="1" applyAlignment="1">
      <alignment horizontal="center" vertical="center"/>
    </xf>
    <xf numFmtId="9" fontId="0" fillId="12" borderId="6" xfId="1" applyFont="1" applyFill="1" applyBorder="1" applyAlignment="1">
      <alignment horizontal="center" vertical="center"/>
    </xf>
    <xf numFmtId="9" fontId="0" fillId="12" borderId="0" xfId="1" applyFont="1" applyFill="1" applyBorder="1" applyAlignment="1">
      <alignment horizontal="center" vertical="center"/>
    </xf>
    <xf numFmtId="9" fontId="0" fillId="12" borderId="3" xfId="1" applyFont="1" applyFill="1" applyBorder="1" applyAlignment="1">
      <alignment horizontal="center" vertical="center"/>
    </xf>
    <xf numFmtId="9" fontId="0" fillId="12" borderId="11" xfId="1" applyFont="1" applyFill="1" applyBorder="1" applyAlignment="1">
      <alignment horizontal="center" vertical="center"/>
    </xf>
    <xf numFmtId="9" fontId="0" fillId="12" borderId="10" xfId="1" applyFont="1" applyFill="1" applyBorder="1" applyAlignment="1">
      <alignment horizontal="center" vertical="center"/>
    </xf>
    <xf numFmtId="164" fontId="5" fillId="12" borderId="7" xfId="1" applyNumberFormat="1" applyFont="1" applyFill="1" applyBorder="1" applyAlignment="1">
      <alignment horizontal="center" vertical="center"/>
    </xf>
    <xf numFmtId="0" fontId="5" fillId="12" borderId="6" xfId="0" applyFont="1" applyFill="1" applyBorder="1" applyAlignment="1">
      <alignment horizontal="center" vertical="center"/>
    </xf>
    <xf numFmtId="0" fontId="18" fillId="12" borderId="3" xfId="0" applyFont="1" applyFill="1" applyBorder="1" applyAlignment="1">
      <alignment vertical="center"/>
    </xf>
    <xf numFmtId="0" fontId="38" fillId="12" borderId="10" xfId="0" applyFont="1" applyFill="1" applyBorder="1" applyAlignment="1">
      <alignment horizontal="left" vertical="center"/>
    </xf>
    <xf numFmtId="41" fontId="18" fillId="12" borderId="3" xfId="2" applyNumberFormat="1" applyFont="1" applyFill="1" applyBorder="1" applyAlignment="1" applyProtection="1">
      <alignment horizontal="center"/>
      <protection locked="0"/>
    </xf>
    <xf numFmtId="41" fontId="18" fillId="12" borderId="11" xfId="2" applyNumberFormat="1" applyFont="1" applyFill="1" applyBorder="1" applyAlignment="1" applyProtection="1">
      <alignment horizontal="center"/>
      <protection locked="0"/>
    </xf>
    <xf numFmtId="41" fontId="18" fillId="12" borderId="10" xfId="2" applyNumberFormat="1" applyFont="1" applyFill="1" applyBorder="1" applyAlignment="1" applyProtection="1">
      <alignment horizontal="center"/>
      <protection locked="0"/>
    </xf>
    <xf numFmtId="9" fontId="5" fillId="0" borderId="2" xfId="1" applyFont="1" applyFill="1" applyBorder="1" applyAlignment="1" applyProtection="1">
      <alignment horizontal="center" vertical="center"/>
      <protection hidden="1"/>
    </xf>
    <xf numFmtId="9" fontId="5" fillId="0" borderId="5" xfId="1" applyFont="1" applyFill="1" applyBorder="1" applyAlignment="1" applyProtection="1">
      <alignment horizontal="center" vertical="center"/>
      <protection hidden="1"/>
    </xf>
    <xf numFmtId="0" fontId="0" fillId="12" borderId="0" xfId="0" applyFont="1" applyFill="1" applyAlignment="1">
      <alignment horizontal="left" vertical="center" wrapText="1"/>
    </xf>
    <xf numFmtId="0" fontId="0" fillId="12" borderId="0" xfId="0" applyFont="1" applyFill="1" applyAlignment="1">
      <alignment vertical="center" wrapText="1"/>
    </xf>
    <xf numFmtId="3" fontId="5" fillId="0" borderId="2" xfId="0" applyNumberFormat="1"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21" fillId="12" borderId="0" xfId="0" applyFont="1" applyFill="1" applyBorder="1" applyAlignment="1">
      <alignment horizontal="center" vertical="center"/>
    </xf>
    <xf numFmtId="3" fontId="5" fillId="0" borderId="12" xfId="0" applyNumberFormat="1"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20" fillId="12" borderId="0" xfId="0" applyFont="1" applyFill="1" applyBorder="1" applyAlignment="1">
      <alignment horizontal="center" vertical="center"/>
    </xf>
    <xf numFmtId="164" fontId="5" fillId="3" borderId="7" xfId="1"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xf numFmtId="0" fontId="0" fillId="0" borderId="14" xfId="0" applyBorder="1" applyAlignment="1">
      <alignment horizontal="left"/>
    </xf>
    <xf numFmtId="0" fontId="0" fillId="0" borderId="23" xfId="0"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0" xfId="0" applyAlignment="1">
      <alignment vertical="center" wrapText="1"/>
    </xf>
    <xf numFmtId="0" fontId="0" fillId="0" borderId="0" xfId="0" applyFill="1" applyBorder="1" applyAlignment="1">
      <alignment horizontal="left" vertical="center"/>
    </xf>
    <xf numFmtId="0" fontId="0" fillId="5" borderId="7" xfId="0" applyFont="1" applyFill="1" applyBorder="1" applyAlignment="1">
      <alignment vertical="center"/>
    </xf>
    <xf numFmtId="0" fontId="9" fillId="5" borderId="4" xfId="0" applyFont="1" applyFill="1" applyBorder="1" applyAlignment="1">
      <alignment vertical="center"/>
    </xf>
    <xf numFmtId="0" fontId="11" fillId="5" borderId="9" xfId="0" applyFont="1" applyFill="1" applyBorder="1" applyAlignment="1">
      <alignment horizontal="left"/>
    </xf>
    <xf numFmtId="0" fontId="11" fillId="5" borderId="0" xfId="0" applyFont="1" applyFill="1" applyBorder="1" applyAlignment="1">
      <alignment horizontal="left"/>
    </xf>
    <xf numFmtId="0" fontId="0" fillId="5" borderId="3" xfId="0" applyFont="1" applyFill="1" applyBorder="1" applyAlignment="1">
      <alignment vertical="center"/>
    </xf>
    <xf numFmtId="0" fontId="11" fillId="5" borderId="10" xfId="0" applyFont="1" applyFill="1" applyBorder="1" applyAlignment="1">
      <alignment horizontal="left"/>
    </xf>
    <xf numFmtId="0" fontId="0" fillId="9" borderId="7" xfId="0" applyFont="1" applyFill="1" applyBorder="1" applyAlignment="1">
      <alignment vertical="center"/>
    </xf>
    <xf numFmtId="0" fontId="11" fillId="9" borderId="0" xfId="0" applyFont="1" applyFill="1" applyBorder="1" applyAlignment="1">
      <alignment horizontal="left"/>
    </xf>
    <xf numFmtId="0" fontId="5" fillId="11" borderId="7" xfId="0" applyFont="1" applyFill="1" applyBorder="1" applyAlignment="1">
      <alignment horizontal="left" vertical="center" wrapText="1"/>
    </xf>
    <xf numFmtId="0" fontId="20" fillId="11" borderId="0" xfId="0" applyFont="1" applyFill="1" applyBorder="1" applyAlignment="1">
      <alignment horizontal="left" vertical="center" wrapText="1"/>
    </xf>
    <xf numFmtId="0" fontId="14" fillId="0" borderId="2" xfId="0" applyFont="1" applyBorder="1" applyAlignment="1">
      <alignment vertical="center"/>
    </xf>
    <xf numFmtId="0" fontId="14" fillId="0" borderId="12" xfId="0" applyFont="1" applyBorder="1" applyAlignment="1">
      <alignment horizontal="left" vertical="center"/>
    </xf>
    <xf numFmtId="10" fontId="0" fillId="0" borderId="0" xfId="1" applyNumberFormat="1" applyFont="1" applyFill="1" applyBorder="1" applyAlignment="1">
      <alignment horizontal="left" vertical="center"/>
    </xf>
    <xf numFmtId="9" fontId="0" fillId="0" borderId="0" xfId="0" applyNumberFormat="1" applyFill="1" applyBorder="1" applyAlignment="1">
      <alignment horizontal="center" vertical="center"/>
    </xf>
    <xf numFmtId="0" fontId="5" fillId="0" borderId="0" xfId="0" applyFont="1" applyFill="1" applyBorder="1" applyAlignment="1">
      <alignment vertical="top"/>
    </xf>
    <xf numFmtId="0" fontId="22" fillId="0" borderId="0" xfId="0" applyFont="1" applyFill="1" applyBorder="1"/>
    <xf numFmtId="9" fontId="0" fillId="0" borderId="0" xfId="0" applyNumberFormat="1" applyFill="1" applyBorder="1" applyAlignment="1">
      <alignment horizontal="left" vertical="top"/>
    </xf>
    <xf numFmtId="0" fontId="0" fillId="0" borderId="0" xfId="0" applyFill="1" applyBorder="1" applyAlignment="1">
      <alignment horizontal="left" vertical="top"/>
    </xf>
    <xf numFmtId="0" fontId="0" fillId="9" borderId="14" xfId="0" applyFill="1" applyBorder="1" applyAlignment="1" applyProtection="1">
      <alignment horizontal="center" vertical="center"/>
      <protection locked="0"/>
    </xf>
    <xf numFmtId="3" fontId="0" fillId="9" borderId="1" xfId="0" applyNumberFormat="1" applyFill="1" applyBorder="1" applyAlignment="1" applyProtection="1">
      <alignment horizontal="center" vertical="center"/>
      <protection locked="0"/>
    </xf>
    <xf numFmtId="0" fontId="32" fillId="11" borderId="8" xfId="0" applyFont="1" applyFill="1" applyBorder="1" applyAlignment="1"/>
    <xf numFmtId="3" fontId="5" fillId="0" borderId="4" xfId="0" applyNumberFormat="1"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0" fillId="12" borderId="0" xfId="0" applyFill="1" applyBorder="1" applyAlignment="1">
      <alignment wrapText="1"/>
    </xf>
    <xf numFmtId="0" fontId="0" fillId="12" borderId="0" xfId="0" applyFill="1" applyAlignment="1">
      <alignment wrapText="1"/>
    </xf>
    <xf numFmtId="0" fontId="0" fillId="12" borderId="16" xfId="0" applyFill="1" applyBorder="1" applyAlignment="1">
      <alignment wrapText="1"/>
    </xf>
    <xf numFmtId="0" fontId="14" fillId="10" borderId="20" xfId="0" applyFont="1" applyFill="1" applyBorder="1" applyAlignment="1">
      <alignment horizontal="center"/>
    </xf>
    <xf numFmtId="0" fontId="0" fillId="10" borderId="21" xfId="0" applyFill="1" applyBorder="1" applyAlignment="1">
      <alignment horizontal="center"/>
    </xf>
    <xf numFmtId="0" fontId="0" fillId="10" borderId="22" xfId="0" applyFill="1" applyBorder="1" applyAlignment="1">
      <alignment horizontal="center"/>
    </xf>
    <xf numFmtId="0" fontId="2" fillId="12" borderId="0" xfId="0" applyFont="1" applyFill="1" applyBorder="1" applyAlignment="1">
      <alignment wrapText="1"/>
    </xf>
    <xf numFmtId="0" fontId="5" fillId="12" borderId="0" xfId="0" applyFont="1" applyFill="1" applyBorder="1" applyAlignment="1">
      <alignment wrapText="1"/>
    </xf>
    <xf numFmtId="0" fontId="5" fillId="12" borderId="0" xfId="0" applyFont="1" applyFill="1" applyAlignment="1">
      <alignment wrapText="1"/>
    </xf>
    <xf numFmtId="0" fontId="5" fillId="12" borderId="16" xfId="0" applyFont="1" applyFill="1" applyBorder="1" applyAlignment="1">
      <alignment wrapText="1"/>
    </xf>
    <xf numFmtId="9" fontId="0" fillId="12" borderId="4" xfId="1" applyFont="1" applyFill="1" applyBorder="1" applyAlignment="1">
      <alignment horizontal="center" vertical="center"/>
    </xf>
    <xf numFmtId="9" fontId="0" fillId="12" borderId="8" xfId="1" applyFont="1" applyFill="1" applyBorder="1" applyAlignment="1">
      <alignment horizontal="center" vertical="center"/>
    </xf>
    <xf numFmtId="9" fontId="0" fillId="12" borderId="9" xfId="1" applyFont="1" applyFill="1" applyBorder="1" applyAlignment="1">
      <alignment horizontal="center" vertical="center"/>
    </xf>
    <xf numFmtId="0" fontId="3" fillId="12" borderId="2" xfId="0" applyFont="1" applyFill="1" applyBorder="1" applyAlignment="1">
      <alignment horizontal="center" vertical="center"/>
    </xf>
    <xf numFmtId="0" fontId="0" fillId="12" borderId="5" xfId="0" applyFill="1" applyBorder="1" applyAlignment="1">
      <alignment horizontal="center" vertical="center"/>
    </xf>
    <xf numFmtId="0" fontId="3" fillId="12" borderId="12" xfId="0" applyFont="1" applyFill="1" applyBorder="1" applyAlignment="1">
      <alignment horizontal="center" vertical="center"/>
    </xf>
    <xf numFmtId="0" fontId="0" fillId="12" borderId="12" xfId="0" applyFill="1" applyBorder="1" applyAlignment="1">
      <alignment horizontal="center" vertical="center"/>
    </xf>
    <xf numFmtId="0" fontId="3" fillId="12" borderId="4" xfId="0" applyFont="1" applyFill="1" applyBorder="1" applyAlignment="1">
      <alignment horizontal="center" vertical="center"/>
    </xf>
    <xf numFmtId="0" fontId="0" fillId="12" borderId="8" xfId="0" applyFill="1" applyBorder="1" applyAlignment="1">
      <alignment horizontal="center" vertical="center"/>
    </xf>
    <xf numFmtId="9" fontId="0" fillId="12" borderId="7" xfId="1" applyFont="1" applyFill="1" applyBorder="1" applyAlignment="1">
      <alignment horizontal="left" vertical="center"/>
    </xf>
    <xf numFmtId="9" fontId="0" fillId="12" borderId="6" xfId="1" applyFont="1" applyFill="1" applyBorder="1" applyAlignment="1">
      <alignment horizontal="left" vertical="center"/>
    </xf>
    <xf numFmtId="9" fontId="0" fillId="12" borderId="3" xfId="1" applyFont="1" applyFill="1" applyBorder="1" applyAlignment="1">
      <alignment horizontal="left" vertical="center"/>
    </xf>
    <xf numFmtId="9" fontId="0" fillId="12" borderId="11" xfId="1" applyFont="1" applyFill="1" applyBorder="1" applyAlignment="1">
      <alignment horizontal="left" vertical="center"/>
    </xf>
    <xf numFmtId="0" fontId="0" fillId="12" borderId="4" xfId="0" applyFill="1" applyBorder="1" applyAlignment="1">
      <alignment vertical="center" wrapText="1"/>
    </xf>
    <xf numFmtId="0" fontId="0" fillId="12" borderId="8" xfId="0" applyFill="1" applyBorder="1" applyAlignment="1">
      <alignment wrapText="1"/>
    </xf>
    <xf numFmtId="0" fontId="5" fillId="12" borderId="4" xfId="2" applyNumberFormat="1" applyFont="1" applyFill="1" applyBorder="1" applyAlignment="1" applyProtection="1">
      <alignment horizontal="center" vertical="center"/>
      <protection locked="0"/>
    </xf>
    <xf numFmtId="0" fontId="5" fillId="12" borderId="8" xfId="2" applyNumberFormat="1" applyFont="1" applyFill="1" applyBorder="1" applyAlignment="1" applyProtection="1">
      <alignment horizontal="center" vertical="center"/>
      <protection locked="0"/>
    </xf>
    <xf numFmtId="0" fontId="5" fillId="12" borderId="9" xfId="2" applyNumberFormat="1" applyFont="1" applyFill="1" applyBorder="1" applyAlignment="1" applyProtection="1">
      <alignment horizontal="center" vertical="center"/>
      <protection locked="0"/>
    </xf>
    <xf numFmtId="3" fontId="0" fillId="12" borderId="4" xfId="0" applyNumberFormat="1" applyFill="1" applyBorder="1" applyAlignment="1">
      <alignment horizontal="center" vertical="center"/>
    </xf>
    <xf numFmtId="0" fontId="5" fillId="12" borderId="7" xfId="2" applyNumberFormat="1" applyFont="1" applyFill="1" applyBorder="1" applyAlignment="1" applyProtection="1">
      <alignment horizontal="center" vertical="center"/>
      <protection locked="0"/>
    </xf>
    <xf numFmtId="0" fontId="5" fillId="12" borderId="6" xfId="2" applyNumberFormat="1" applyFont="1" applyFill="1" applyBorder="1" applyAlignment="1" applyProtection="1">
      <alignment horizontal="center" vertical="center"/>
      <protection locked="0"/>
    </xf>
    <xf numFmtId="0" fontId="5" fillId="12" borderId="0" xfId="2" applyNumberFormat="1" applyFont="1" applyFill="1" applyBorder="1" applyAlignment="1" applyProtection="1">
      <alignment horizontal="center" vertical="center"/>
      <protection locked="0"/>
    </xf>
    <xf numFmtId="0" fontId="18" fillId="12" borderId="3" xfId="2" applyNumberFormat="1" applyFont="1" applyFill="1" applyBorder="1" applyAlignment="1" applyProtection="1">
      <alignment horizontal="left" vertical="center"/>
      <protection locked="0"/>
    </xf>
    <xf numFmtId="0" fontId="18" fillId="12" borderId="11" xfId="2" applyNumberFormat="1" applyFont="1" applyFill="1" applyBorder="1" applyAlignment="1" applyProtection="1">
      <alignment horizontal="left" vertical="center"/>
      <protection locked="0"/>
    </xf>
    <xf numFmtId="0" fontId="0" fillId="12" borderId="8" xfId="0" applyFill="1" applyBorder="1" applyAlignment="1">
      <alignment vertical="center" wrapText="1"/>
    </xf>
    <xf numFmtId="0" fontId="0" fillId="12" borderId="9" xfId="0" applyFill="1" applyBorder="1" applyAlignment="1">
      <alignment horizontal="center" vertical="center"/>
    </xf>
    <xf numFmtId="164" fontId="5" fillId="12" borderId="4" xfId="1" applyNumberFormat="1" applyFont="1" applyFill="1" applyBorder="1" applyAlignment="1">
      <alignment horizontal="center" vertical="center"/>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3" fontId="0" fillId="12" borderId="3" xfId="0" applyNumberFormat="1" applyFont="1" applyFill="1" applyBorder="1" applyAlignment="1">
      <alignment horizontal="center" vertical="center"/>
    </xf>
    <xf numFmtId="0" fontId="0" fillId="12" borderId="11" xfId="0" applyFont="1" applyFill="1" applyBorder="1" applyAlignment="1">
      <alignment horizontal="center" vertical="center"/>
    </xf>
    <xf numFmtId="0" fontId="0" fillId="12" borderId="10" xfId="0" applyFont="1" applyFill="1" applyBorder="1" applyAlignment="1">
      <alignment horizontal="center" vertical="center"/>
    </xf>
    <xf numFmtId="3" fontId="0" fillId="12" borderId="3" xfId="0" applyNumberFormat="1" applyFill="1" applyBorder="1" applyAlignment="1">
      <alignment horizontal="center" vertical="center"/>
    </xf>
    <xf numFmtId="0" fontId="0" fillId="12" borderId="11" xfId="0" applyFill="1" applyBorder="1" applyAlignment="1">
      <alignment horizontal="center" vertical="center"/>
    </xf>
    <xf numFmtId="0" fontId="0" fillId="12" borderId="4" xfId="0" applyFont="1" applyFill="1" applyBorder="1" applyAlignment="1">
      <alignment vertical="center" wrapText="1"/>
    </xf>
    <xf numFmtId="0" fontId="18" fillId="12" borderId="2" xfId="0" applyFont="1" applyFill="1" applyBorder="1" applyAlignment="1">
      <alignment horizontal="center" vertical="center"/>
    </xf>
    <xf numFmtId="0" fontId="18" fillId="12" borderId="12" xfId="0" applyFont="1" applyFill="1" applyBorder="1" applyAlignment="1">
      <alignment horizontal="center" vertical="center"/>
    </xf>
    <xf numFmtId="0" fontId="18" fillId="12" borderId="5" xfId="0" applyFont="1" applyFill="1" applyBorder="1" applyAlignment="1">
      <alignment horizontal="center" vertical="center"/>
    </xf>
    <xf numFmtId="0" fontId="0" fillId="12" borderId="7" xfId="0" applyFill="1" applyBorder="1" applyAlignment="1">
      <alignment vertical="center" wrapText="1"/>
    </xf>
    <xf numFmtId="0" fontId="0" fillId="12" borderId="6" xfId="0" applyFill="1" applyBorder="1" applyAlignment="1">
      <alignment vertical="center" wrapText="1"/>
    </xf>
    <xf numFmtId="0" fontId="0" fillId="12" borderId="7" xfId="0" applyFill="1" applyBorder="1" applyAlignment="1">
      <alignment horizontal="right" vertical="center" wrapText="1"/>
    </xf>
    <xf numFmtId="0" fontId="0" fillId="12" borderId="3" xfId="0" applyFill="1" applyBorder="1" applyAlignment="1">
      <alignment horizontal="right" vertical="center" wrapText="1"/>
    </xf>
    <xf numFmtId="0" fontId="0" fillId="12" borderId="11" xfId="0" applyFill="1" applyBorder="1" applyAlignment="1">
      <alignment vertical="center" wrapText="1"/>
    </xf>
    <xf numFmtId="0" fontId="0" fillId="12" borderId="3" xfId="0" applyFill="1" applyBorder="1" applyAlignment="1">
      <alignment vertical="center" wrapText="1"/>
    </xf>
    <xf numFmtId="3" fontId="0" fillId="12" borderId="7" xfId="0" applyNumberFormat="1" applyFont="1" applyFill="1" applyBorder="1" applyAlignment="1">
      <alignment horizontal="center" vertical="center"/>
    </xf>
    <xf numFmtId="0" fontId="0" fillId="12" borderId="6" xfId="0" applyFont="1" applyFill="1" applyBorder="1" applyAlignment="1">
      <alignment horizontal="center" vertical="center"/>
    </xf>
    <xf numFmtId="0" fontId="0" fillId="12" borderId="0" xfId="0" applyFont="1" applyFill="1" applyBorder="1" applyAlignment="1">
      <alignment horizontal="center" vertical="center"/>
    </xf>
    <xf numFmtId="0" fontId="0" fillId="12" borderId="2" xfId="0" applyFont="1" applyFill="1" applyBorder="1" applyAlignment="1">
      <alignment horizontal="center" vertical="center" wrapText="1"/>
    </xf>
    <xf numFmtId="0" fontId="0" fillId="12" borderId="12"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7" xfId="0" applyFont="1" applyFill="1" applyBorder="1" applyAlignment="1">
      <alignment horizontal="right" vertical="center" wrapText="1"/>
    </xf>
    <xf numFmtId="9" fontId="0" fillId="5" borderId="3" xfId="1" applyFont="1" applyFill="1" applyBorder="1" applyAlignment="1">
      <alignment horizontal="center" vertical="center"/>
    </xf>
    <xf numFmtId="9" fontId="0" fillId="5" borderId="11" xfId="1" applyFont="1" applyFill="1" applyBorder="1" applyAlignment="1">
      <alignment horizontal="center" vertical="center"/>
    </xf>
    <xf numFmtId="9" fontId="0" fillId="5" borderId="7" xfId="1" applyFont="1" applyFill="1" applyBorder="1" applyAlignment="1">
      <alignment horizontal="center" vertical="center"/>
    </xf>
    <xf numFmtId="9" fontId="0" fillId="5" borderId="6" xfId="1" applyFont="1" applyFill="1" applyBorder="1" applyAlignment="1">
      <alignment horizontal="center" vertical="center"/>
    </xf>
    <xf numFmtId="10" fontId="0" fillId="9" borderId="7" xfId="1" applyNumberFormat="1" applyFont="1" applyFill="1" applyBorder="1" applyAlignment="1">
      <alignment horizontal="center" vertical="center"/>
    </xf>
    <xf numFmtId="10" fontId="0" fillId="9" borderId="6" xfId="1" applyNumberFormat="1" applyFont="1" applyFill="1" applyBorder="1" applyAlignment="1">
      <alignment horizontal="center" vertical="center"/>
    </xf>
    <xf numFmtId="9" fontId="0" fillId="9" borderId="7" xfId="1" applyFont="1" applyFill="1" applyBorder="1" applyAlignment="1">
      <alignment horizontal="center" vertical="center"/>
    </xf>
    <xf numFmtId="9" fontId="0" fillId="9" borderId="6" xfId="1" applyFont="1" applyFill="1" applyBorder="1" applyAlignment="1">
      <alignment horizontal="center" vertical="center"/>
    </xf>
    <xf numFmtId="3" fontId="0" fillId="5" borderId="4" xfId="0" applyNumberFormat="1" applyFont="1" applyFill="1" applyBorder="1" applyAlignment="1">
      <alignment horizontal="center" vertical="center"/>
    </xf>
    <xf numFmtId="3" fontId="0" fillId="5" borderId="8" xfId="0" applyNumberFormat="1" applyFont="1" applyFill="1" applyBorder="1" applyAlignment="1">
      <alignment horizontal="center" vertical="center"/>
    </xf>
    <xf numFmtId="3" fontId="0" fillId="0" borderId="2" xfId="0" applyNumberFormat="1" applyFont="1" applyFill="1" applyBorder="1" applyAlignment="1" applyProtection="1">
      <alignment horizontal="center" vertical="center"/>
      <protection hidden="1"/>
    </xf>
    <xf numFmtId="3" fontId="0" fillId="0" borderId="5" xfId="0" applyNumberFormat="1" applyBorder="1" applyAlignment="1"/>
    <xf numFmtId="3" fontId="14" fillId="11" borderId="2" xfId="0" applyNumberFormat="1" applyFont="1" applyFill="1" applyBorder="1" applyAlignment="1" applyProtection="1">
      <alignment horizontal="center" vertical="center"/>
      <protection hidden="1"/>
    </xf>
    <xf numFmtId="3" fontId="14" fillId="11" borderId="5" xfId="0" applyNumberFormat="1" applyFont="1" applyFill="1" applyBorder="1" applyAlignment="1"/>
    <xf numFmtId="0" fontId="0" fillId="0" borderId="12" xfId="0" applyFill="1" applyBorder="1" applyAlignment="1" applyProtection="1">
      <alignment horizontal="center"/>
      <protection hidden="1"/>
    </xf>
    <xf numFmtId="0" fontId="0" fillId="0" borderId="12" xfId="0" applyBorder="1" applyAlignment="1">
      <alignment horizontal="center"/>
    </xf>
    <xf numFmtId="0" fontId="5" fillId="9" borderId="2" xfId="0" applyFont="1" applyFill="1" applyBorder="1" applyAlignment="1" applyProtection="1">
      <alignment horizontal="center" vertical="center"/>
      <protection locked="0"/>
    </xf>
    <xf numFmtId="0" fontId="0" fillId="0" borderId="5" xfId="0" applyBorder="1" applyAlignment="1"/>
    <xf numFmtId="3" fontId="5" fillId="9" borderId="2" xfId="2" applyNumberFormat="1" applyFont="1" applyFill="1" applyBorder="1" applyAlignment="1" applyProtection="1">
      <alignment horizontal="center" vertical="center"/>
      <protection locked="0"/>
    </xf>
    <xf numFmtId="3" fontId="0" fillId="3" borderId="7" xfId="0" applyNumberFormat="1" applyFill="1" applyBorder="1" applyAlignment="1">
      <alignment horizontal="center" vertical="center"/>
    </xf>
    <xf numFmtId="3" fontId="0" fillId="3" borderId="0" xfId="0" applyNumberFormat="1" applyFill="1" applyBorder="1" applyAlignment="1">
      <alignment horizontal="center" vertical="center"/>
    </xf>
    <xf numFmtId="164" fontId="5" fillId="3" borderId="7" xfId="1" applyNumberFormat="1" applyFont="1" applyFill="1" applyBorder="1" applyAlignment="1">
      <alignment horizontal="center" vertical="center"/>
    </xf>
    <xf numFmtId="164" fontId="5" fillId="3" borderId="0" xfId="1" applyNumberFormat="1" applyFont="1" applyFill="1" applyBorder="1" applyAlignment="1">
      <alignment horizontal="center" vertical="center"/>
    </xf>
    <xf numFmtId="9" fontId="0" fillId="3" borderId="4" xfId="1" applyFont="1" applyFill="1" applyBorder="1" applyAlignment="1">
      <alignment horizontal="center" vertical="center"/>
    </xf>
    <xf numFmtId="9" fontId="0" fillId="3" borderId="8" xfId="1" applyFont="1" applyFill="1" applyBorder="1" applyAlignment="1">
      <alignment horizontal="center" vertical="center"/>
    </xf>
    <xf numFmtId="9" fontId="0" fillId="3" borderId="7" xfId="1" applyFont="1" applyFill="1" applyBorder="1" applyAlignment="1">
      <alignment horizontal="left" vertical="center"/>
    </xf>
    <xf numFmtId="9" fontId="0" fillId="3" borderId="6" xfId="1" applyFont="1" applyFill="1" applyBorder="1" applyAlignment="1">
      <alignment horizontal="left" vertical="center"/>
    </xf>
    <xf numFmtId="0" fontId="25" fillId="0" borderId="2" xfId="0" applyFont="1" applyFill="1" applyBorder="1" applyAlignment="1">
      <alignment horizontal="left" vertical="center" wrapText="1"/>
    </xf>
    <xf numFmtId="0" fontId="0" fillId="0" borderId="5" xfId="0" applyBorder="1" applyAlignment="1">
      <alignment horizontal="left" vertical="center" wrapText="1"/>
    </xf>
    <xf numFmtId="0" fontId="36" fillId="0" borderId="2" xfId="0" applyFont="1" applyFill="1" applyBorder="1" applyAlignment="1">
      <alignment horizontal="left" vertical="center" wrapText="1"/>
    </xf>
    <xf numFmtId="3" fontId="5" fillId="11" borderId="2" xfId="0" applyNumberFormat="1" applyFont="1" applyFill="1" applyBorder="1" applyAlignment="1" applyProtection="1">
      <alignment horizontal="center" vertical="center"/>
      <protection hidden="1"/>
    </xf>
    <xf numFmtId="0" fontId="5" fillId="11" borderId="5" xfId="0" applyFont="1" applyFill="1" applyBorder="1" applyAlignment="1" applyProtection="1">
      <alignment horizontal="center" vertical="center"/>
      <protection hidden="1"/>
    </xf>
    <xf numFmtId="3" fontId="18" fillId="0" borderId="2" xfId="0" applyNumberFormat="1" applyFont="1" applyFill="1" applyBorder="1" applyAlignment="1" applyProtection="1">
      <alignment horizontal="center" vertical="center"/>
      <protection hidden="1"/>
    </xf>
    <xf numFmtId="0" fontId="18" fillId="0" borderId="5" xfId="0" applyFont="1" applyFill="1" applyBorder="1" applyAlignment="1" applyProtection="1">
      <alignment horizontal="center" vertical="center"/>
      <protection hidden="1"/>
    </xf>
    <xf numFmtId="0" fontId="5" fillId="3" borderId="7" xfId="2" applyNumberFormat="1" applyFont="1" applyFill="1" applyBorder="1" applyAlignment="1" applyProtection="1">
      <alignment horizontal="center" vertical="center"/>
      <protection locked="0"/>
    </xf>
    <xf numFmtId="0" fontId="5" fillId="3" borderId="6" xfId="2"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vertical="center"/>
    </xf>
    <xf numFmtId="164" fontId="5" fillId="3" borderId="6" xfId="1" applyNumberFormat="1" applyFont="1" applyFill="1" applyBorder="1" applyAlignment="1">
      <alignment horizontal="center" vertical="center"/>
    </xf>
    <xf numFmtId="9" fontId="0" fillId="3" borderId="9" xfId="1" applyFont="1" applyFill="1" applyBorder="1" applyAlignment="1">
      <alignment horizontal="center" vertical="center"/>
    </xf>
    <xf numFmtId="9" fontId="0" fillId="3" borderId="0" xfId="1" applyFont="1" applyFill="1" applyBorder="1" applyAlignment="1">
      <alignment horizontal="left" vertical="center"/>
    </xf>
    <xf numFmtId="0" fontId="5" fillId="3" borderId="0" xfId="2" applyNumberFormat="1"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0" fillId="3" borderId="5" xfId="0" applyFill="1" applyBorder="1" applyAlignment="1">
      <alignment horizontal="center" vertical="center"/>
    </xf>
    <xf numFmtId="9" fontId="5" fillId="4" borderId="2" xfId="1" applyFont="1" applyFill="1" applyBorder="1" applyAlignment="1" applyProtection="1">
      <alignment horizontal="center" vertical="center"/>
      <protection hidden="1"/>
    </xf>
    <xf numFmtId="9" fontId="5" fillId="4" borderId="5" xfId="1" applyFont="1" applyFill="1" applyBorder="1" applyAlignment="1" applyProtection="1">
      <alignment horizontal="center" vertical="center"/>
      <protection hidden="1"/>
    </xf>
    <xf numFmtId="3" fontId="15" fillId="7" borderId="2" xfId="0" applyNumberFormat="1" applyFont="1" applyFill="1" applyBorder="1" applyAlignment="1" applyProtection="1">
      <alignment horizontal="center" vertical="center"/>
      <protection hidden="1"/>
    </xf>
    <xf numFmtId="0" fontId="15" fillId="7" borderId="5" xfId="0" applyFont="1" applyFill="1" applyBorder="1" applyAlignment="1" applyProtection="1">
      <alignment horizontal="center" vertical="center"/>
      <protection hidden="1"/>
    </xf>
    <xf numFmtId="3" fontId="5" fillId="4" borderId="2" xfId="0" applyNumberFormat="1"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3" fontId="5" fillId="0" borderId="7" xfId="0" applyNumberFormat="1"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3" fontId="0" fillId="8" borderId="7" xfId="0" applyNumberFormat="1" applyFont="1" applyFill="1" applyBorder="1" applyAlignment="1">
      <alignment horizontal="center" vertical="center"/>
    </xf>
    <xf numFmtId="0" fontId="0" fillId="8" borderId="6" xfId="0" applyFont="1" applyFill="1" applyBorder="1" applyAlignment="1">
      <alignment horizontal="center" vertical="center"/>
    </xf>
    <xf numFmtId="9" fontId="0" fillId="0" borderId="0" xfId="0" applyNumberFormat="1" applyFill="1" applyBorder="1" applyAlignment="1">
      <alignment horizontal="left" vertical="center"/>
    </xf>
    <xf numFmtId="0" fontId="0" fillId="0" borderId="0" xfId="0" applyFill="1" applyBorder="1" applyAlignment="1">
      <alignment horizontal="left"/>
    </xf>
    <xf numFmtId="9" fontId="0" fillId="0" borderId="0" xfId="0" applyNumberFormat="1" applyFill="1" applyBorder="1" applyAlignment="1">
      <alignment horizontal="left"/>
    </xf>
    <xf numFmtId="9" fontId="0" fillId="0" borderId="0" xfId="0" applyNumberFormat="1" applyFill="1" applyBorder="1" applyAlignment="1">
      <alignment horizontal="left" vertical="top"/>
    </xf>
    <xf numFmtId="0" fontId="0" fillId="0" borderId="0" xfId="0" applyFill="1" applyBorder="1" applyAlignment="1">
      <alignment horizontal="left" vertical="top"/>
    </xf>
    <xf numFmtId="3" fontId="5" fillId="0" borderId="2" xfId="0" applyNumberFormat="1"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3" fontId="5" fillId="11" borderId="7" xfId="0" applyNumberFormat="1" applyFont="1" applyFill="1" applyBorder="1" applyAlignment="1" applyProtection="1">
      <alignment horizontal="center" vertical="center"/>
      <protection hidden="1"/>
    </xf>
    <xf numFmtId="0" fontId="5" fillId="11" borderId="6" xfId="0" applyFont="1" applyFill="1" applyBorder="1" applyAlignment="1" applyProtection="1">
      <alignment horizontal="center" vertical="center"/>
      <protection hidden="1"/>
    </xf>
    <xf numFmtId="3" fontId="5" fillId="0" borderId="4" xfId="0" applyNumberFormat="1"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0" fillId="12" borderId="0" xfId="0" applyFont="1" applyFill="1" applyAlignment="1">
      <alignment horizontal="left" vertical="center" wrapText="1"/>
    </xf>
    <xf numFmtId="0" fontId="0" fillId="12" borderId="0" xfId="0" applyFont="1" applyFill="1" applyAlignment="1">
      <alignmen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pplyProtection="1">
      <alignment horizontal="center" vertical="center"/>
      <protection hidden="1"/>
    </xf>
    <xf numFmtId="0" fontId="14" fillId="0" borderId="12" xfId="0" applyFont="1" applyBorder="1" applyAlignment="1">
      <alignment horizontal="center" vertical="center"/>
    </xf>
    <xf numFmtId="0" fontId="2" fillId="0" borderId="12" xfId="0" applyFont="1" applyBorder="1" applyAlignment="1">
      <alignment horizontal="center" vertical="center"/>
    </xf>
    <xf numFmtId="0" fontId="2" fillId="12" borderId="9" xfId="0" applyFont="1" applyFill="1" applyBorder="1" applyAlignment="1">
      <alignment horizontal="righ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5" fillId="0" borderId="3" xfId="0" applyFont="1" applyFill="1" applyBorder="1" applyAlignment="1">
      <alignment horizontal="right" vertical="center" wrapText="1"/>
    </xf>
    <xf numFmtId="0" fontId="0" fillId="0" borderId="10" xfId="0" applyFill="1" applyBorder="1" applyAlignment="1">
      <alignment horizontal="right" vertical="center" wrapText="1"/>
    </xf>
    <xf numFmtId="0" fontId="0" fillId="0" borderId="10" xfId="0" applyBorder="1" applyAlignment="1">
      <alignment wrapText="1"/>
    </xf>
    <xf numFmtId="0" fontId="0" fillId="0" borderId="11" xfId="0" applyBorder="1" applyAlignment="1">
      <alignment wrapText="1"/>
    </xf>
    <xf numFmtId="0" fontId="5" fillId="0" borderId="4" xfId="0" applyFont="1" applyBorder="1" applyAlignment="1">
      <alignment horizontal="right" vertical="center" wrapText="1"/>
    </xf>
    <xf numFmtId="0" fontId="0" fillId="0" borderId="9" xfId="0" applyBorder="1" applyAlignment="1">
      <alignment horizontal="right" vertical="center" wrapText="1"/>
    </xf>
    <xf numFmtId="0" fontId="0" fillId="0" borderId="9" xfId="0" applyBorder="1" applyAlignment="1">
      <alignment wrapText="1"/>
    </xf>
    <xf numFmtId="0" fontId="0" fillId="0" borderId="8" xfId="0" applyBorder="1" applyAlignment="1">
      <alignment wrapText="1"/>
    </xf>
    <xf numFmtId="0" fontId="0" fillId="0" borderId="2" xfId="0" applyFill="1" applyBorder="1" applyAlignment="1">
      <alignment horizontal="left" wrapText="1"/>
    </xf>
    <xf numFmtId="0" fontId="0" fillId="0" borderId="12" xfId="0" applyFill="1" applyBorder="1" applyAlignment="1">
      <alignment horizontal="left" wrapText="1"/>
    </xf>
    <xf numFmtId="0" fontId="0" fillId="0" borderId="12" xfId="0" applyBorder="1" applyAlignment="1">
      <alignment wrapText="1"/>
    </xf>
    <xf numFmtId="0" fontId="5" fillId="12" borderId="7" xfId="0" applyFont="1" applyFill="1" applyBorder="1" applyAlignment="1">
      <alignment vertical="center" wrapText="1"/>
    </xf>
    <xf numFmtId="0" fontId="0" fillId="12" borderId="0" xfId="0" applyFill="1" applyAlignment="1">
      <alignment vertical="center" wrapText="1"/>
    </xf>
    <xf numFmtId="0" fontId="0" fillId="0" borderId="0" xfId="0" applyAlignment="1">
      <alignment vertical="center" wrapText="1"/>
    </xf>
    <xf numFmtId="10" fontId="0" fillId="0" borderId="0" xfId="0" applyNumberFormat="1" applyFill="1" applyBorder="1" applyAlignment="1">
      <alignment horizontal="left" vertical="center"/>
    </xf>
    <xf numFmtId="10" fontId="0" fillId="0" borderId="0" xfId="0" applyNumberFormat="1" applyFill="1" applyBorder="1" applyAlignment="1">
      <alignment horizontal="left"/>
    </xf>
    <xf numFmtId="10" fontId="0" fillId="0" borderId="0" xfId="0" applyNumberFormat="1" applyFill="1" applyBorder="1" applyAlignment="1">
      <alignment horizontal="left" vertical="top"/>
    </xf>
    <xf numFmtId="0" fontId="0" fillId="0" borderId="0" xfId="0" applyBorder="1" applyAlignment="1"/>
    <xf numFmtId="3" fontId="5" fillId="0" borderId="12" xfId="0" applyNumberFormat="1"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14" fillId="0" borderId="2" xfId="0" applyFont="1" applyBorder="1" applyAlignment="1">
      <alignment horizontal="center" vertical="center"/>
    </xf>
    <xf numFmtId="0" fontId="2" fillId="0" borderId="5" xfId="0" applyFont="1" applyBorder="1" applyAlignment="1">
      <alignment horizontal="center" vertical="center"/>
    </xf>
    <xf numFmtId="3" fontId="5" fillId="11" borderId="0" xfId="0" applyNumberFormat="1" applyFont="1" applyFill="1" applyBorder="1" applyAlignment="1" applyProtection="1">
      <alignment horizontal="center" vertical="center"/>
      <protection hidden="1"/>
    </xf>
    <xf numFmtId="0" fontId="5" fillId="11" borderId="0" xfId="0" applyFont="1" applyFill="1" applyBorder="1" applyAlignment="1" applyProtection="1">
      <alignment horizontal="center" vertical="center"/>
      <protection hidden="1"/>
    </xf>
    <xf numFmtId="3" fontId="5" fillId="0" borderId="1" xfId="0" applyNumberFormat="1"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3" fontId="5" fillId="8" borderId="10" xfId="0" applyNumberFormat="1" applyFont="1" applyFill="1" applyBorder="1" applyAlignment="1" applyProtection="1">
      <alignment horizontal="center" vertical="center"/>
      <protection hidden="1"/>
    </xf>
    <xf numFmtId="0" fontId="5" fillId="8" borderId="10" xfId="0" applyFont="1" applyFill="1" applyBorder="1" applyAlignment="1" applyProtection="1">
      <alignment horizontal="center" vertical="center"/>
      <protection hidden="1"/>
    </xf>
    <xf numFmtId="0" fontId="3" fillId="3" borderId="5" xfId="0" applyFont="1" applyFill="1" applyBorder="1" applyAlignment="1">
      <alignment horizontal="center" vertical="center"/>
    </xf>
    <xf numFmtId="3" fontId="0" fillId="3" borderId="7" xfId="0" applyNumberFormat="1" applyFont="1" applyFill="1" applyBorder="1" applyAlignment="1">
      <alignment horizontal="center" vertical="center"/>
    </xf>
    <xf numFmtId="3" fontId="0" fillId="3" borderId="6" xfId="0" applyNumberFormat="1" applyFont="1" applyFill="1" applyBorder="1" applyAlignment="1">
      <alignment horizontal="center" vertical="center"/>
    </xf>
    <xf numFmtId="0" fontId="3" fillId="3" borderId="12" xfId="0" applyFont="1" applyFill="1" applyBorder="1" applyAlignment="1">
      <alignment horizontal="center" vertical="center"/>
    </xf>
    <xf numFmtId="10" fontId="33" fillId="0" borderId="9" xfId="0" applyNumberFormat="1" applyFont="1" applyFill="1" applyBorder="1" applyAlignment="1" applyProtection="1">
      <alignment horizontal="center" vertical="center"/>
      <protection hidden="1"/>
    </xf>
    <xf numFmtId="10" fontId="34" fillId="0" borderId="9" xfId="0" applyNumberFormat="1" applyFont="1" applyFill="1" applyBorder="1" applyAlignment="1" applyProtection="1">
      <alignment horizontal="center" vertical="center"/>
      <protection hidden="1"/>
    </xf>
    <xf numFmtId="10" fontId="33" fillId="0" borderId="4" xfId="0" applyNumberFormat="1" applyFont="1" applyFill="1" applyBorder="1" applyAlignment="1" applyProtection="1">
      <alignment horizontal="center" vertical="center"/>
      <protection hidden="1"/>
    </xf>
    <xf numFmtId="10" fontId="34" fillId="0" borderId="8" xfId="0" applyNumberFormat="1" applyFont="1" applyFill="1" applyBorder="1" applyAlignment="1" applyProtection="1">
      <alignment horizontal="center" vertical="center"/>
      <protection hidden="1"/>
    </xf>
    <xf numFmtId="3" fontId="5" fillId="8" borderId="3" xfId="0" applyNumberFormat="1" applyFont="1" applyFill="1" applyBorder="1" applyAlignment="1" applyProtection="1">
      <alignment horizontal="center" vertical="center"/>
      <protection hidden="1"/>
    </xf>
    <xf numFmtId="0" fontId="5" fillId="8" borderId="11" xfId="0" applyFont="1" applyFill="1" applyBorder="1" applyAlignment="1" applyProtection="1">
      <alignment horizontal="center" vertical="center"/>
      <protection hidden="1"/>
    </xf>
    <xf numFmtId="0" fontId="0" fillId="3" borderId="7" xfId="0" applyFill="1" applyBorder="1" applyAlignment="1">
      <alignment vertical="center" wrapText="1"/>
    </xf>
    <xf numFmtId="0" fontId="0" fillId="3" borderId="6" xfId="0" applyFill="1" applyBorder="1" applyAlignment="1">
      <alignment vertical="center" wrapText="1"/>
    </xf>
    <xf numFmtId="0" fontId="25" fillId="0" borderId="4" xfId="0" applyFont="1" applyFill="1" applyBorder="1" applyAlignment="1">
      <alignment horizontal="left" vertical="center" wrapText="1"/>
    </xf>
    <xf numFmtId="0" fontId="5" fillId="0" borderId="9" xfId="0" applyFont="1" applyFill="1" applyBorder="1" applyAlignment="1">
      <alignment horizontal="left" vertical="center" wrapText="1"/>
    </xf>
    <xf numFmtId="3" fontId="5" fillId="0" borderId="9" xfId="0" applyNumberFormat="1"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27" fillId="6" borderId="2" xfId="0" applyFont="1" applyFill="1" applyBorder="1" applyAlignment="1">
      <alignment horizontal="center" vertical="center" wrapText="1"/>
    </xf>
    <xf numFmtId="0" fontId="23" fillId="0" borderId="12" xfId="0" applyFont="1" applyBorder="1" applyAlignment="1">
      <alignment horizontal="center" wrapText="1"/>
    </xf>
    <xf numFmtId="0" fontId="2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horizontal="right" vertical="center"/>
    </xf>
    <xf numFmtId="0" fontId="0" fillId="0" borderId="8" xfId="0" applyBorder="1" applyAlignment="1">
      <alignment horizontal="right" vertical="center"/>
    </xf>
    <xf numFmtId="3" fontId="18" fillId="0" borderId="12" xfId="0" applyNumberFormat="1"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3" fontId="17" fillId="6" borderId="4" xfId="0" applyNumberFormat="1" applyFont="1" applyFill="1" applyBorder="1" applyAlignment="1">
      <alignment horizontal="center" vertical="center"/>
    </xf>
    <xf numFmtId="0" fontId="0" fillId="0" borderId="8" xfId="0" applyBorder="1" applyAlignment="1">
      <alignment horizontal="center" vertical="center"/>
    </xf>
    <xf numFmtId="0" fontId="0" fillId="5" borderId="7" xfId="0" applyFont="1" applyFill="1" applyBorder="1" applyAlignment="1">
      <alignment horizontal="right" vertical="center"/>
    </xf>
    <xf numFmtId="0" fontId="0" fillId="5" borderId="0" xfId="0" applyFill="1" applyBorder="1" applyAlignment="1">
      <alignment horizontal="right" vertical="center"/>
    </xf>
    <xf numFmtId="3" fontId="17" fillId="0" borderId="3"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7" xfId="0" applyNumberFormat="1" applyFont="1" applyBorder="1" applyAlignment="1">
      <alignment horizontal="center" vertical="center"/>
    </xf>
    <xf numFmtId="0" fontId="18" fillId="0" borderId="6" xfId="0" applyFont="1" applyBorder="1" applyAlignment="1">
      <alignment horizontal="center" vertical="center"/>
    </xf>
    <xf numFmtId="0" fontId="14" fillId="10" borderId="0" xfId="0" applyFont="1" applyFill="1" applyAlignment="1">
      <alignment horizontal="center" vertical="center" wrapText="1"/>
    </xf>
    <xf numFmtId="0" fontId="3" fillId="10" borderId="0" xfId="0" applyFont="1" applyFill="1" applyAlignment="1">
      <alignment horizontal="center" wrapText="1"/>
    </xf>
    <xf numFmtId="0" fontId="3" fillId="0" borderId="2" xfId="0" applyFont="1" applyBorder="1" applyAlignment="1">
      <alignment horizontal="center" vertical="center"/>
    </xf>
    <xf numFmtId="0" fontId="0" fillId="0" borderId="5" xfId="0"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17" fillId="0" borderId="3" xfId="0" applyFont="1" applyFill="1" applyBorder="1" applyAlignment="1">
      <alignment horizontal="left" vertical="center" wrapText="1"/>
    </xf>
    <xf numFmtId="0" fontId="34" fillId="0" borderId="11" xfId="0" applyFont="1" applyBorder="1" applyAlignment="1">
      <alignment horizontal="left" vertical="center" wrapText="1"/>
    </xf>
    <xf numFmtId="0" fontId="40" fillId="12" borderId="0" xfId="0" applyFont="1" applyFill="1"/>
    <xf numFmtId="0" fontId="0" fillId="0" borderId="0" xfId="0" applyAlignment="1">
      <alignment wrapText="1"/>
    </xf>
    <xf numFmtId="0" fontId="0" fillId="0" borderId="16" xfId="0" applyBorder="1" applyAlignment="1">
      <alignment wrapText="1"/>
    </xf>
    <xf numFmtId="0" fontId="0" fillId="0" borderId="5" xfId="0" applyBorder="1" applyAlignment="1" applyProtection="1">
      <protection locked="0"/>
    </xf>
    <xf numFmtId="3" fontId="0" fillId="0" borderId="5" xfId="0" applyNumberFormat="1" applyBorder="1" applyAlignment="1" applyProtection="1">
      <alignment vertical="center"/>
      <protection locked="0"/>
    </xf>
    <xf numFmtId="0" fontId="3" fillId="0" borderId="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3" fontId="0" fillId="0" borderId="7" xfId="0" applyNumberFormat="1" applyBorder="1" applyAlignment="1" applyProtection="1">
      <alignment horizontal="center" vertical="center"/>
      <protection hidden="1"/>
    </xf>
    <xf numFmtId="3" fontId="0" fillId="0" borderId="6" xfId="0" applyNumberFormat="1" applyBorder="1" applyAlignment="1" applyProtection="1">
      <alignment horizontal="center" vertical="center"/>
      <protection hidden="1"/>
    </xf>
    <xf numFmtId="10" fontId="5" fillId="0" borderId="7" xfId="1" applyNumberFormat="1"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3" fontId="0" fillId="0" borderId="7" xfId="0" applyNumberFormat="1" applyFill="1" applyBorder="1" applyAlignment="1" applyProtection="1">
      <alignment horizontal="center" vertical="center"/>
      <protection hidden="1"/>
    </xf>
    <xf numFmtId="3" fontId="0" fillId="0" borderId="6" xfId="0" applyNumberFormat="1" applyFill="1" applyBorder="1" applyAlignment="1" applyProtection="1">
      <alignment horizontal="center" vertical="center"/>
      <protection hidden="1"/>
    </xf>
    <xf numFmtId="4" fontId="31" fillId="0" borderId="7" xfId="0" applyNumberFormat="1" applyFont="1" applyBorder="1" applyAlignment="1" applyProtection="1">
      <alignment horizontal="center" vertical="center"/>
      <protection hidden="1"/>
    </xf>
    <xf numFmtId="4" fontId="31" fillId="0" borderId="6" xfId="0" applyNumberFormat="1" applyFont="1" applyBorder="1" applyAlignment="1" applyProtection="1">
      <alignment horizontal="center" vertical="center"/>
      <protection hidden="1"/>
    </xf>
    <xf numFmtId="3" fontId="0" fillId="4" borderId="7" xfId="0" applyNumberFormat="1" applyFill="1" applyBorder="1" applyAlignment="1" applyProtection="1">
      <alignment horizontal="center" vertical="center"/>
      <protection hidden="1"/>
    </xf>
    <xf numFmtId="3" fontId="0" fillId="4" borderId="6" xfId="0" applyNumberFormat="1" applyFill="1" applyBorder="1" applyAlignment="1" applyProtection="1">
      <alignment horizontal="center" vertical="center"/>
      <protection hidden="1"/>
    </xf>
    <xf numFmtId="3" fontId="7" fillId="0" borderId="4" xfId="0" applyNumberFormat="1" applyFont="1" applyBorder="1" applyAlignment="1" applyProtection="1">
      <alignment horizontal="center" vertical="center"/>
      <protection hidden="1"/>
    </xf>
    <xf numFmtId="3" fontId="7" fillId="0" borderId="8" xfId="0" applyNumberFormat="1" applyFont="1" applyBorder="1" applyAlignment="1" applyProtection="1">
      <alignment horizontal="center" vertical="center"/>
      <protection hidden="1"/>
    </xf>
    <xf numFmtId="3" fontId="5" fillId="0" borderId="4" xfId="0" applyNumberFormat="1" applyFont="1" applyBorder="1" applyAlignment="1" applyProtection="1">
      <alignment horizontal="center" vertical="center"/>
      <protection hidden="1"/>
    </xf>
    <xf numFmtId="3" fontId="5" fillId="0" borderId="8" xfId="0" applyNumberFormat="1" applyFont="1" applyBorder="1" applyAlignment="1" applyProtection="1">
      <alignment horizontal="center" vertical="center"/>
      <protection hidden="1"/>
    </xf>
    <xf numFmtId="3" fontId="0" fillId="0" borderId="7" xfId="0" applyNumberFormat="1"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6" xfId="0" applyBorder="1" applyAlignment="1" applyProtection="1">
      <alignment horizontal="center"/>
      <protection hidden="1"/>
    </xf>
    <xf numFmtId="0" fontId="5" fillId="0" borderId="7"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15" fillId="0" borderId="4"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3" fontId="0" fillId="0" borderId="3" xfId="0" applyNumberFormat="1" applyBorder="1" applyAlignment="1" applyProtection="1">
      <alignment horizontal="center" vertical="center"/>
      <protection hidden="1"/>
    </xf>
    <xf numFmtId="3" fontId="0" fillId="0" borderId="11" xfId="0" applyNumberFormat="1" applyBorder="1" applyAlignment="1" applyProtection="1">
      <alignment horizontal="center" vertical="center"/>
      <protection hidden="1"/>
    </xf>
    <xf numFmtId="0" fontId="11" fillId="5" borderId="0" xfId="0" applyFont="1" applyFill="1" applyBorder="1" applyAlignment="1" applyProtection="1">
      <alignment horizontal="left" vertical="center"/>
      <protection hidden="1"/>
    </xf>
    <xf numFmtId="41" fontId="24" fillId="5" borderId="0" xfId="2" applyNumberFormat="1" applyFont="1" applyFill="1" applyBorder="1" applyAlignment="1" applyProtection="1">
      <alignment horizontal="center" vertical="center"/>
      <protection hidden="1"/>
    </xf>
    <xf numFmtId="0" fontId="0" fillId="5" borderId="7" xfId="0" applyFont="1" applyFill="1" applyBorder="1" applyAlignment="1" applyProtection="1">
      <alignment horizontal="left" vertical="center"/>
      <protection hidden="1"/>
    </xf>
    <xf numFmtId="3" fontId="0" fillId="5" borderId="10" xfId="0" applyNumberFormat="1" applyFont="1" applyFill="1" applyBorder="1" applyAlignment="1" applyProtection="1">
      <alignment horizontal="center" vertical="center"/>
      <protection hidden="1"/>
    </xf>
    <xf numFmtId="165" fontId="17" fillId="0" borderId="23" xfId="2" applyNumberFormat="1" applyFont="1" applyFill="1" applyBorder="1" applyAlignment="1" applyProtection="1">
      <alignment horizontal="center" vertical="center"/>
      <protection hidden="1"/>
    </xf>
    <xf numFmtId="0" fontId="33" fillId="0" borderId="1" xfId="0" applyFont="1" applyFill="1" applyBorder="1" applyAlignment="1">
      <alignment horizontal="left" vertical="center" wrapText="1"/>
    </xf>
    <xf numFmtId="0" fontId="0" fillId="0" borderId="1" xfId="0" applyBorder="1" applyAlignment="1">
      <alignment horizontal="left" vertical="center" wrapText="1"/>
    </xf>
    <xf numFmtId="10" fontId="33" fillId="0" borderId="1" xfId="0" applyNumberFormat="1" applyFont="1" applyFill="1" applyBorder="1" applyAlignment="1" applyProtection="1">
      <alignment horizontal="center" vertical="center"/>
      <protection hidden="1"/>
    </xf>
    <xf numFmtId="10" fontId="34" fillId="0" borderId="1" xfId="0" applyNumberFormat="1" applyFont="1" applyFill="1" applyBorder="1" applyAlignment="1" applyProtection="1">
      <alignment horizontal="center" vertical="center"/>
      <protection hidden="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55"/>
  <sheetViews>
    <sheetView topLeftCell="A31" workbookViewId="0">
      <selection activeCell="J57" sqref="J57"/>
    </sheetView>
  </sheetViews>
  <sheetFormatPr baseColWidth="10" defaultRowHeight="12.75" x14ac:dyDescent="0.2"/>
  <cols>
    <col min="1" max="1" width="2.140625" customWidth="1"/>
    <col min="2" max="2" width="5" customWidth="1"/>
    <col min="3" max="3" width="4.28515625" customWidth="1"/>
    <col min="4" max="4" width="5.140625" customWidth="1"/>
    <col min="12" max="12" width="13.7109375" customWidth="1"/>
  </cols>
  <sheetData>
    <row r="1" spans="1:13" ht="18.75" customHeight="1" thickBot="1" x14ac:dyDescent="0.3">
      <c r="A1" s="247" t="s">
        <v>114</v>
      </c>
      <c r="B1" s="248"/>
      <c r="C1" s="248"/>
      <c r="D1" s="248"/>
      <c r="E1" s="248"/>
      <c r="F1" s="248"/>
      <c r="G1" s="248"/>
      <c r="H1" s="248"/>
      <c r="I1" s="248"/>
      <c r="J1" s="248"/>
      <c r="K1" s="248"/>
      <c r="L1" s="248"/>
      <c r="M1" s="249"/>
    </row>
    <row r="2" spans="1:13" ht="18.75" customHeight="1" x14ac:dyDescent="0.25">
      <c r="A2" s="140"/>
      <c r="B2" s="141"/>
      <c r="C2" s="141"/>
      <c r="D2" s="141"/>
      <c r="E2" s="141"/>
      <c r="F2" s="141"/>
      <c r="G2" s="141"/>
      <c r="H2" s="141"/>
      <c r="I2" s="141"/>
      <c r="J2" s="141"/>
      <c r="K2" s="141"/>
      <c r="L2" s="141"/>
      <c r="M2" s="142"/>
    </row>
    <row r="3" spans="1:13" ht="60.75" customHeight="1" x14ac:dyDescent="0.25">
      <c r="A3" s="140"/>
      <c r="B3" s="244" t="s">
        <v>108</v>
      </c>
      <c r="C3" s="244"/>
      <c r="D3" s="244"/>
      <c r="E3" s="244"/>
      <c r="F3" s="244"/>
      <c r="G3" s="244"/>
      <c r="H3" s="244"/>
      <c r="I3" s="244"/>
      <c r="J3" s="244"/>
      <c r="K3" s="244"/>
      <c r="L3" s="244"/>
      <c r="M3" s="246"/>
    </row>
    <row r="4" spans="1:13" ht="11.25" customHeight="1" x14ac:dyDescent="0.2">
      <c r="A4" s="143"/>
      <c r="B4" s="144"/>
      <c r="C4" s="144"/>
      <c r="D4" s="144"/>
      <c r="E4" s="144"/>
      <c r="F4" s="144"/>
      <c r="G4" s="144"/>
      <c r="H4" s="144"/>
      <c r="I4" s="144"/>
      <c r="J4" s="144"/>
      <c r="K4" s="144"/>
      <c r="L4" s="144"/>
      <c r="M4" s="145"/>
    </row>
    <row r="5" spans="1:13" ht="39" customHeight="1" x14ac:dyDescent="0.2">
      <c r="A5" s="143"/>
      <c r="B5" s="244" t="s">
        <v>109</v>
      </c>
      <c r="C5" s="244"/>
      <c r="D5" s="244"/>
      <c r="E5" s="244"/>
      <c r="F5" s="244"/>
      <c r="G5" s="244"/>
      <c r="H5" s="244"/>
      <c r="I5" s="244"/>
      <c r="J5" s="244"/>
      <c r="K5" s="244"/>
      <c r="L5" s="244"/>
      <c r="M5" s="246"/>
    </row>
    <row r="6" spans="1:13" ht="8.25" customHeight="1" x14ac:dyDescent="0.2">
      <c r="A6" s="143"/>
      <c r="B6" s="144"/>
      <c r="C6" s="144"/>
      <c r="D6" s="144"/>
      <c r="E6" s="144"/>
      <c r="F6" s="144"/>
      <c r="G6" s="144"/>
      <c r="H6" s="144"/>
      <c r="I6" s="144"/>
      <c r="J6" s="144"/>
      <c r="K6" s="146"/>
      <c r="L6" s="146"/>
      <c r="M6" s="147"/>
    </row>
    <row r="7" spans="1:13" ht="39.75" customHeight="1" x14ac:dyDescent="0.2">
      <c r="A7" s="143"/>
      <c r="B7" s="250" t="s">
        <v>110</v>
      </c>
      <c r="C7" s="244"/>
      <c r="D7" s="244"/>
      <c r="E7" s="244"/>
      <c r="F7" s="244"/>
      <c r="G7" s="244"/>
      <c r="H7" s="244"/>
      <c r="I7" s="244"/>
      <c r="J7" s="244"/>
      <c r="K7" s="244"/>
      <c r="L7" s="244"/>
      <c r="M7" s="246"/>
    </row>
    <row r="8" spans="1:13" ht="12.75" customHeight="1" x14ac:dyDescent="0.2">
      <c r="A8" s="143"/>
      <c r="B8" s="148"/>
      <c r="C8" s="144"/>
      <c r="D8" s="144"/>
      <c r="E8" s="144"/>
      <c r="F8" s="144"/>
      <c r="G8" s="144"/>
      <c r="H8" s="144"/>
      <c r="I8" s="144"/>
      <c r="J8" s="144"/>
      <c r="K8" s="146"/>
      <c r="L8" s="146"/>
      <c r="M8" s="147"/>
    </row>
    <row r="9" spans="1:13" ht="25.5" customHeight="1" x14ac:dyDescent="0.2">
      <c r="A9" s="143"/>
      <c r="B9" s="250" t="s">
        <v>130</v>
      </c>
      <c r="C9" s="244"/>
      <c r="D9" s="244"/>
      <c r="E9" s="244"/>
      <c r="F9" s="244"/>
      <c r="G9" s="244"/>
      <c r="H9" s="244"/>
      <c r="I9" s="244"/>
      <c r="J9" s="244"/>
      <c r="K9" s="244"/>
      <c r="L9" s="244"/>
      <c r="M9" s="246"/>
    </row>
    <row r="10" spans="1:13" ht="30.75" customHeight="1" x14ac:dyDescent="0.2">
      <c r="A10" s="143"/>
      <c r="B10" s="244" t="s">
        <v>157</v>
      </c>
      <c r="C10" s="244"/>
      <c r="D10" s="244"/>
      <c r="E10" s="244"/>
      <c r="F10" s="244"/>
      <c r="G10" s="244"/>
      <c r="H10" s="244"/>
      <c r="I10" s="244"/>
      <c r="J10" s="244"/>
      <c r="K10" s="244"/>
      <c r="L10" s="244"/>
      <c r="M10" s="246"/>
    </row>
    <row r="11" spans="1:13" x14ac:dyDescent="0.2">
      <c r="A11" s="143"/>
      <c r="B11" s="146"/>
      <c r="C11" s="146"/>
      <c r="D11" s="146" t="s">
        <v>23</v>
      </c>
      <c r="E11" s="146"/>
      <c r="F11" s="146"/>
      <c r="G11" s="146"/>
      <c r="H11" s="146"/>
      <c r="I11" s="146"/>
      <c r="J11" s="146"/>
      <c r="K11" s="146"/>
      <c r="L11" s="146"/>
      <c r="M11" s="147"/>
    </row>
    <row r="12" spans="1:13" x14ac:dyDescent="0.2">
      <c r="A12" s="143"/>
      <c r="B12" s="146"/>
      <c r="C12" s="146"/>
      <c r="D12" s="146"/>
      <c r="E12" s="149">
        <v>7.8600000000000003E-2</v>
      </c>
      <c r="F12" s="146" t="s">
        <v>27</v>
      </c>
      <c r="G12" s="146"/>
      <c r="H12" s="146"/>
      <c r="I12" s="146"/>
      <c r="J12" s="146"/>
      <c r="K12" s="146"/>
      <c r="L12" s="146"/>
      <c r="M12" s="147"/>
    </row>
    <row r="13" spans="1:13" x14ac:dyDescent="0.2">
      <c r="A13" s="143"/>
      <c r="B13" s="146"/>
      <c r="C13" s="146"/>
      <c r="D13" s="146"/>
      <c r="E13" s="149">
        <v>0.08</v>
      </c>
      <c r="F13" s="146" t="s">
        <v>25</v>
      </c>
      <c r="G13" s="146"/>
      <c r="H13" s="146"/>
      <c r="I13" s="146"/>
      <c r="J13" s="146"/>
      <c r="K13" s="146"/>
      <c r="L13" s="146"/>
      <c r="M13" s="147"/>
    </row>
    <row r="14" spans="1:13" x14ac:dyDescent="0.2">
      <c r="A14" s="143"/>
      <c r="B14" s="146"/>
      <c r="C14" s="146"/>
      <c r="D14" s="146"/>
      <c r="E14" s="149">
        <v>8.8599999999999998E-2</v>
      </c>
      <c r="F14" s="146" t="s">
        <v>26</v>
      </c>
      <c r="G14" s="146"/>
      <c r="H14" s="146"/>
      <c r="I14" s="146"/>
      <c r="J14" s="146"/>
      <c r="K14" s="146"/>
      <c r="L14" s="146"/>
      <c r="M14" s="147"/>
    </row>
    <row r="15" spans="1:13" x14ac:dyDescent="0.2">
      <c r="A15" s="143"/>
      <c r="B15" s="146"/>
      <c r="C15" s="146"/>
      <c r="D15" s="146" t="s">
        <v>24</v>
      </c>
      <c r="E15" s="146"/>
      <c r="F15" s="146"/>
      <c r="G15" s="146"/>
      <c r="H15" s="146"/>
      <c r="I15" s="146"/>
      <c r="J15" s="146"/>
      <c r="K15" s="146"/>
      <c r="L15" s="146"/>
      <c r="M15" s="147"/>
    </row>
    <row r="16" spans="1:13" x14ac:dyDescent="0.2">
      <c r="A16" s="143"/>
      <c r="B16" s="146"/>
      <c r="C16" s="146"/>
      <c r="D16" s="146"/>
      <c r="E16" s="150">
        <v>0.2</v>
      </c>
      <c r="F16" s="146" t="s">
        <v>27</v>
      </c>
      <c r="G16" s="146"/>
      <c r="H16" s="146"/>
      <c r="I16" s="146"/>
      <c r="J16" s="146"/>
      <c r="K16" s="146"/>
      <c r="L16" s="146"/>
      <c r="M16" s="147"/>
    </row>
    <row r="17" spans="1:13" x14ac:dyDescent="0.2">
      <c r="A17" s="143"/>
      <c r="B17" s="146"/>
      <c r="C17" s="146"/>
      <c r="D17" s="146"/>
      <c r="E17" s="150">
        <v>0.08</v>
      </c>
      <c r="F17" s="146" t="s">
        <v>25</v>
      </c>
      <c r="G17" s="146"/>
      <c r="H17" s="146"/>
      <c r="I17" s="146"/>
      <c r="J17" s="146"/>
      <c r="K17" s="146"/>
      <c r="L17" s="146"/>
      <c r="M17" s="147"/>
    </row>
    <row r="18" spans="1:13" x14ac:dyDescent="0.2">
      <c r="A18" s="143"/>
      <c r="B18" s="146"/>
      <c r="C18" s="146"/>
      <c r="D18" s="146"/>
      <c r="E18" s="150">
        <v>0.22</v>
      </c>
      <c r="F18" s="146" t="s">
        <v>26</v>
      </c>
      <c r="G18" s="146"/>
      <c r="H18" s="146"/>
      <c r="I18" s="146"/>
      <c r="J18" s="146"/>
      <c r="K18" s="146"/>
      <c r="L18" s="146"/>
      <c r="M18" s="147"/>
    </row>
    <row r="19" spans="1:13" ht="7.5" customHeight="1" x14ac:dyDescent="0.2">
      <c r="A19" s="143"/>
      <c r="B19" s="146"/>
      <c r="C19" s="146"/>
      <c r="D19" s="146"/>
      <c r="E19" s="146"/>
      <c r="F19" s="146"/>
      <c r="G19" s="146"/>
      <c r="H19" s="146"/>
      <c r="I19" s="146"/>
      <c r="J19" s="146"/>
      <c r="K19" s="146"/>
      <c r="L19" s="146"/>
      <c r="M19" s="147"/>
    </row>
    <row r="20" spans="1:13" ht="27.75" customHeight="1" x14ac:dyDescent="0.2">
      <c r="A20" s="143"/>
      <c r="B20" s="151" t="s">
        <v>121</v>
      </c>
      <c r="C20" s="146"/>
      <c r="D20" s="146"/>
      <c r="E20" s="146"/>
      <c r="F20" s="146"/>
      <c r="G20" s="146"/>
      <c r="H20" s="146"/>
      <c r="I20" s="146"/>
      <c r="J20" s="146"/>
      <c r="K20" s="146"/>
      <c r="L20" s="146"/>
      <c r="M20" s="147"/>
    </row>
    <row r="21" spans="1:13" x14ac:dyDescent="0.2">
      <c r="A21" s="143"/>
      <c r="B21" s="146" t="s">
        <v>28</v>
      </c>
      <c r="C21" s="152" t="s">
        <v>69</v>
      </c>
      <c r="D21" s="146"/>
      <c r="E21" s="146"/>
      <c r="F21" s="146"/>
      <c r="G21" s="146"/>
      <c r="H21" s="146"/>
      <c r="I21" s="146"/>
      <c r="J21" s="146"/>
      <c r="K21" s="146"/>
      <c r="L21" s="146"/>
      <c r="M21" s="147"/>
    </row>
    <row r="22" spans="1:13" ht="38.25" customHeight="1" x14ac:dyDescent="0.2">
      <c r="A22" s="143"/>
      <c r="B22" s="146"/>
      <c r="C22" s="146"/>
      <c r="D22" s="244" t="s">
        <v>100</v>
      </c>
      <c r="E22" s="244"/>
      <c r="F22" s="244"/>
      <c r="G22" s="244"/>
      <c r="H22" s="244"/>
      <c r="I22" s="244"/>
      <c r="J22" s="244"/>
      <c r="K22" s="244"/>
      <c r="L22" s="244"/>
      <c r="M22" s="246"/>
    </row>
    <row r="23" spans="1:13" ht="44.25" customHeight="1" x14ac:dyDescent="0.2">
      <c r="A23" s="143"/>
      <c r="B23" s="146"/>
      <c r="C23" s="146"/>
      <c r="D23" s="244" t="s">
        <v>101</v>
      </c>
      <c r="E23" s="244"/>
      <c r="F23" s="244"/>
      <c r="G23" s="244"/>
      <c r="H23" s="244"/>
      <c r="I23" s="244"/>
      <c r="J23" s="244"/>
      <c r="K23" s="244"/>
      <c r="L23" s="244"/>
      <c r="M23" s="246"/>
    </row>
    <row r="24" spans="1:13" ht="36" customHeight="1" x14ac:dyDescent="0.2">
      <c r="A24" s="143"/>
      <c r="B24" s="146"/>
      <c r="C24" s="146"/>
      <c r="D24" s="244" t="s">
        <v>102</v>
      </c>
      <c r="E24" s="244"/>
      <c r="F24" s="244"/>
      <c r="G24" s="244"/>
      <c r="H24" s="244"/>
      <c r="I24" s="244"/>
      <c r="J24" s="244"/>
      <c r="K24" s="244"/>
      <c r="L24" s="244"/>
      <c r="M24" s="246"/>
    </row>
    <row r="25" spans="1:13" x14ac:dyDescent="0.2">
      <c r="A25" s="143"/>
      <c r="B25" s="146"/>
      <c r="C25" s="146" t="s">
        <v>31</v>
      </c>
      <c r="D25" s="146"/>
      <c r="E25" s="146"/>
      <c r="F25" s="146"/>
      <c r="G25" s="146"/>
      <c r="H25" s="146"/>
      <c r="I25" s="146"/>
      <c r="J25" s="146"/>
      <c r="K25" s="146"/>
      <c r="L25" s="146"/>
      <c r="M25" s="147"/>
    </row>
    <row r="26" spans="1:13" x14ac:dyDescent="0.2">
      <c r="A26" s="143"/>
      <c r="B26" s="146"/>
      <c r="C26" s="146"/>
      <c r="D26" s="146" t="s">
        <v>32</v>
      </c>
      <c r="E26" s="146"/>
      <c r="F26" s="146"/>
      <c r="G26" s="146"/>
      <c r="H26" s="146"/>
      <c r="I26" s="146"/>
      <c r="J26" s="146"/>
      <c r="K26" s="146"/>
      <c r="L26" s="146"/>
      <c r="M26" s="147"/>
    </row>
    <row r="27" spans="1:13" x14ac:dyDescent="0.2">
      <c r="A27" s="143"/>
      <c r="B27" s="146"/>
      <c r="C27" s="146"/>
      <c r="D27" s="146" t="s">
        <v>33</v>
      </c>
      <c r="E27" s="146"/>
      <c r="F27" s="146"/>
      <c r="G27" s="146"/>
      <c r="H27" s="146"/>
      <c r="I27" s="146"/>
      <c r="J27" s="146"/>
      <c r="K27" s="146"/>
      <c r="L27" s="146"/>
      <c r="M27" s="147"/>
    </row>
    <row r="28" spans="1:13" x14ac:dyDescent="0.2">
      <c r="A28" s="143"/>
      <c r="B28" s="146"/>
      <c r="C28" s="146"/>
      <c r="D28" s="146" t="s">
        <v>70</v>
      </c>
      <c r="E28" s="146"/>
      <c r="F28" s="146"/>
      <c r="G28" s="146"/>
      <c r="H28" s="146"/>
      <c r="I28" s="146"/>
      <c r="J28" s="146"/>
      <c r="K28" s="146"/>
      <c r="L28" s="146"/>
      <c r="M28" s="147"/>
    </row>
    <row r="29" spans="1:13" x14ac:dyDescent="0.2">
      <c r="A29" s="143"/>
      <c r="B29" s="146"/>
      <c r="C29" s="146"/>
      <c r="D29" s="146" t="s">
        <v>71</v>
      </c>
      <c r="E29" s="146"/>
      <c r="F29" s="146"/>
      <c r="G29" s="146"/>
      <c r="H29" s="146"/>
      <c r="I29" s="146"/>
      <c r="J29" s="146"/>
      <c r="K29" s="146"/>
      <c r="L29" s="146"/>
      <c r="M29" s="147"/>
    </row>
    <row r="30" spans="1:13" x14ac:dyDescent="0.2">
      <c r="A30" s="143"/>
      <c r="B30" s="146"/>
      <c r="C30" s="146"/>
      <c r="D30" s="146" t="s">
        <v>34</v>
      </c>
      <c r="E30" s="146"/>
      <c r="F30" s="146"/>
      <c r="G30" s="146"/>
      <c r="H30" s="146"/>
      <c r="I30" s="146"/>
      <c r="J30" s="146"/>
      <c r="K30" s="146"/>
      <c r="L30" s="146"/>
      <c r="M30" s="147"/>
    </row>
    <row r="31" spans="1:13" x14ac:dyDescent="0.2">
      <c r="A31" s="143"/>
      <c r="B31" s="146"/>
      <c r="C31" s="146"/>
      <c r="D31" s="146"/>
      <c r="E31" s="146"/>
      <c r="F31" s="146"/>
      <c r="G31" s="146"/>
      <c r="H31" s="146"/>
      <c r="I31" s="146"/>
      <c r="J31" s="146"/>
      <c r="K31" s="146"/>
      <c r="L31" s="146"/>
      <c r="M31" s="147"/>
    </row>
    <row r="32" spans="1:13" x14ac:dyDescent="0.2">
      <c r="A32" s="143"/>
      <c r="B32" s="146" t="s">
        <v>29</v>
      </c>
      <c r="C32" s="152" t="s">
        <v>111</v>
      </c>
      <c r="D32" s="146"/>
      <c r="E32" s="146"/>
      <c r="F32" s="146"/>
      <c r="G32" s="146"/>
      <c r="H32" s="146"/>
      <c r="I32" s="146"/>
      <c r="J32" s="146"/>
      <c r="K32" s="146"/>
      <c r="L32" s="146"/>
      <c r="M32" s="147"/>
    </row>
    <row r="33" spans="1:13" x14ac:dyDescent="0.2">
      <c r="A33" s="143"/>
      <c r="B33" s="146"/>
      <c r="C33" s="146"/>
      <c r="D33" s="146" t="s">
        <v>97</v>
      </c>
      <c r="E33" s="146"/>
      <c r="F33" s="146"/>
      <c r="G33" s="146"/>
      <c r="H33" s="146"/>
      <c r="I33" s="146"/>
      <c r="J33" s="146"/>
      <c r="K33" s="146"/>
      <c r="L33" s="146"/>
      <c r="M33" s="147"/>
    </row>
    <row r="34" spans="1:13" x14ac:dyDescent="0.2">
      <c r="A34" s="143"/>
      <c r="B34" s="146"/>
      <c r="C34" s="146"/>
      <c r="D34" s="146" t="s">
        <v>78</v>
      </c>
      <c r="E34" s="146"/>
      <c r="F34" s="146"/>
      <c r="G34" s="146"/>
      <c r="H34" s="146"/>
      <c r="I34" s="146"/>
      <c r="J34" s="146"/>
      <c r="K34" s="146"/>
      <c r="L34" s="146"/>
      <c r="M34" s="147"/>
    </row>
    <row r="35" spans="1:13" x14ac:dyDescent="0.2">
      <c r="A35" s="143"/>
      <c r="B35" s="146"/>
      <c r="C35" s="146"/>
      <c r="D35" s="146"/>
      <c r="E35" s="146"/>
      <c r="F35" s="146"/>
      <c r="G35" s="146"/>
      <c r="H35" s="146"/>
      <c r="I35" s="146"/>
      <c r="J35" s="146"/>
      <c r="K35" s="146"/>
      <c r="L35" s="146"/>
      <c r="M35" s="147"/>
    </row>
    <row r="36" spans="1:13" x14ac:dyDescent="0.2">
      <c r="A36" s="143"/>
      <c r="B36" s="146" t="s">
        <v>30</v>
      </c>
      <c r="C36" s="152" t="s">
        <v>38</v>
      </c>
      <c r="D36" s="146"/>
      <c r="E36" s="146"/>
      <c r="F36" s="146"/>
      <c r="G36" s="146"/>
      <c r="H36" s="146"/>
      <c r="I36" s="146"/>
      <c r="J36" s="146"/>
      <c r="K36" s="146"/>
      <c r="L36" s="146"/>
      <c r="M36" s="147"/>
    </row>
    <row r="37" spans="1:13" x14ac:dyDescent="0.2">
      <c r="A37" s="143"/>
      <c r="B37" s="146"/>
      <c r="C37" s="146"/>
      <c r="D37" s="146" t="s">
        <v>72</v>
      </c>
      <c r="E37" s="146"/>
      <c r="F37" s="146"/>
      <c r="G37" s="146"/>
      <c r="H37" s="146"/>
      <c r="I37" s="146"/>
      <c r="J37" s="146"/>
      <c r="K37" s="146"/>
      <c r="L37" s="146"/>
      <c r="M37" s="147"/>
    </row>
    <row r="38" spans="1:13" x14ac:dyDescent="0.2">
      <c r="A38" s="143"/>
      <c r="B38" s="146"/>
      <c r="C38" s="146"/>
      <c r="D38" s="146" t="s">
        <v>36</v>
      </c>
      <c r="E38" s="146"/>
      <c r="F38" s="146"/>
      <c r="G38" s="146"/>
      <c r="H38" s="146"/>
      <c r="I38" s="146"/>
      <c r="J38" s="146"/>
      <c r="K38" s="146"/>
      <c r="L38" s="146"/>
      <c r="M38" s="147"/>
    </row>
    <row r="39" spans="1:13" x14ac:dyDescent="0.2">
      <c r="A39" s="143"/>
      <c r="B39" s="146"/>
      <c r="C39" s="146"/>
      <c r="D39" s="146"/>
      <c r="E39" s="146"/>
      <c r="F39" s="146"/>
      <c r="G39" s="146"/>
      <c r="H39" s="146"/>
      <c r="I39" s="146"/>
      <c r="J39" s="146"/>
      <c r="K39" s="146"/>
      <c r="L39" s="146"/>
      <c r="M39" s="147"/>
    </row>
    <row r="40" spans="1:13" x14ac:dyDescent="0.2">
      <c r="A40" s="143"/>
      <c r="B40" s="146" t="s">
        <v>35</v>
      </c>
      <c r="C40" s="152" t="s">
        <v>37</v>
      </c>
      <c r="D40" s="146"/>
      <c r="E40" s="146"/>
      <c r="F40" s="146"/>
      <c r="G40" s="146"/>
      <c r="H40" s="146"/>
      <c r="I40" s="146"/>
      <c r="J40" s="146"/>
      <c r="K40" s="146"/>
      <c r="L40" s="146"/>
      <c r="M40" s="147"/>
    </row>
    <row r="41" spans="1:13" x14ac:dyDescent="0.2">
      <c r="A41" s="143"/>
      <c r="B41" s="146"/>
      <c r="C41" s="146"/>
      <c r="D41" s="146" t="s">
        <v>112</v>
      </c>
      <c r="E41" s="146"/>
      <c r="F41" s="146"/>
      <c r="G41" s="146"/>
      <c r="H41" s="146"/>
      <c r="I41" s="146"/>
      <c r="J41" s="146"/>
      <c r="K41" s="146"/>
      <c r="L41" s="146"/>
      <c r="M41" s="147"/>
    </row>
    <row r="42" spans="1:13" x14ac:dyDescent="0.2">
      <c r="A42" s="143"/>
      <c r="B42" s="146"/>
      <c r="C42" s="146"/>
      <c r="D42" s="146"/>
      <c r="E42" s="146"/>
      <c r="F42" s="146"/>
      <c r="G42" s="146"/>
      <c r="H42" s="146"/>
      <c r="I42" s="146"/>
      <c r="J42" s="146"/>
      <c r="K42" s="146"/>
      <c r="L42" s="146"/>
      <c r="M42" s="147"/>
    </row>
    <row r="43" spans="1:13" x14ac:dyDescent="0.2">
      <c r="A43" s="143"/>
      <c r="B43" s="153" t="s">
        <v>43</v>
      </c>
      <c r="C43" s="152" t="s">
        <v>95</v>
      </c>
      <c r="D43" s="146"/>
      <c r="E43" s="146"/>
      <c r="F43" s="146"/>
      <c r="G43" s="146"/>
      <c r="H43" s="146"/>
      <c r="I43" s="146"/>
      <c r="J43" s="146"/>
      <c r="K43" s="146"/>
      <c r="L43" s="146"/>
      <c r="M43" s="147"/>
    </row>
    <row r="44" spans="1:13" x14ac:dyDescent="0.2">
      <c r="A44" s="143"/>
      <c r="B44" s="146"/>
      <c r="C44" s="146"/>
      <c r="D44" s="146" t="s">
        <v>113</v>
      </c>
      <c r="E44" s="146"/>
      <c r="F44" s="146"/>
      <c r="G44" s="146"/>
      <c r="H44" s="146"/>
      <c r="I44" s="146"/>
      <c r="J44" s="146"/>
      <c r="K44" s="146"/>
      <c r="L44" s="146"/>
      <c r="M44" s="147"/>
    </row>
    <row r="45" spans="1:13" ht="15.75" customHeight="1" x14ac:dyDescent="0.2">
      <c r="A45" s="143"/>
      <c r="B45" s="146"/>
      <c r="C45" s="146"/>
      <c r="D45" s="244" t="s">
        <v>118</v>
      </c>
      <c r="E45" s="245"/>
      <c r="F45" s="245"/>
      <c r="G45" s="245"/>
      <c r="H45" s="245"/>
      <c r="I45" s="245"/>
      <c r="J45" s="245"/>
      <c r="K45" s="245"/>
      <c r="L45" s="245"/>
      <c r="M45" s="246"/>
    </row>
    <row r="46" spans="1:13" ht="27.75" customHeight="1" x14ac:dyDescent="0.2">
      <c r="A46" s="143"/>
      <c r="B46" s="146"/>
      <c r="C46" s="146"/>
      <c r="D46" s="146"/>
      <c r="E46" s="251" t="s">
        <v>105</v>
      </c>
      <c r="F46" s="252"/>
      <c r="G46" s="252"/>
      <c r="H46" s="252"/>
      <c r="I46" s="252"/>
      <c r="J46" s="252"/>
      <c r="K46" s="252"/>
      <c r="L46" s="252"/>
      <c r="M46" s="253"/>
    </row>
    <row r="47" spans="1:13" x14ac:dyDescent="0.2">
      <c r="A47" s="143"/>
      <c r="B47" s="146"/>
      <c r="C47" s="146"/>
      <c r="D47" s="146"/>
      <c r="E47" s="154" t="s">
        <v>106</v>
      </c>
      <c r="F47" s="154"/>
      <c r="G47" s="154"/>
      <c r="H47" s="154"/>
      <c r="I47" s="154"/>
      <c r="J47" s="154"/>
      <c r="K47" s="154"/>
      <c r="L47" s="154"/>
      <c r="M47" s="155"/>
    </row>
    <row r="48" spans="1:13" x14ac:dyDescent="0.2">
      <c r="A48" s="143"/>
      <c r="B48" s="146"/>
      <c r="C48" s="146"/>
      <c r="D48" s="146"/>
      <c r="E48" s="154" t="s">
        <v>107</v>
      </c>
      <c r="F48" s="154"/>
      <c r="G48" s="154"/>
      <c r="H48" s="154"/>
      <c r="I48" s="154"/>
      <c r="J48" s="154"/>
      <c r="K48" s="154"/>
      <c r="L48" s="154"/>
      <c r="M48" s="155"/>
    </row>
    <row r="49" spans="1:13" ht="42.75" customHeight="1" x14ac:dyDescent="0.2">
      <c r="A49" s="143"/>
      <c r="B49" s="146"/>
      <c r="C49" s="251" t="s">
        <v>162</v>
      </c>
      <c r="D49" s="252"/>
      <c r="E49" s="252"/>
      <c r="F49" s="252"/>
      <c r="G49" s="252"/>
      <c r="H49" s="252"/>
      <c r="I49" s="252"/>
      <c r="J49" s="252"/>
      <c r="K49" s="252"/>
      <c r="L49" s="252"/>
      <c r="M49" s="253"/>
    </row>
    <row r="50" spans="1:13" ht="50.25" customHeight="1" x14ac:dyDescent="0.2">
      <c r="A50" s="143"/>
      <c r="B50" s="146"/>
      <c r="C50" s="244" t="s">
        <v>160</v>
      </c>
      <c r="D50" s="245"/>
      <c r="E50" s="245"/>
      <c r="F50" s="245"/>
      <c r="G50" s="245"/>
      <c r="H50" s="245"/>
      <c r="I50" s="245"/>
      <c r="J50" s="245"/>
      <c r="K50" s="245"/>
      <c r="L50" s="245"/>
      <c r="M50" s="246"/>
    </row>
    <row r="51" spans="1:13" ht="27" customHeight="1" x14ac:dyDescent="0.2">
      <c r="A51" s="143"/>
      <c r="B51" s="146"/>
      <c r="C51" s="244" t="s">
        <v>161</v>
      </c>
      <c r="D51" s="450"/>
      <c r="E51" s="450"/>
      <c r="F51" s="450"/>
      <c r="G51" s="450"/>
      <c r="H51" s="450"/>
      <c r="I51" s="450"/>
      <c r="J51" s="450"/>
      <c r="K51" s="450"/>
      <c r="L51" s="450"/>
      <c r="M51" s="451"/>
    </row>
    <row r="52" spans="1:13" ht="27" customHeight="1" x14ac:dyDescent="0.2">
      <c r="A52" s="143"/>
      <c r="B52" s="146"/>
      <c r="C52" s="244" t="s">
        <v>98</v>
      </c>
      <c r="D52" s="245"/>
      <c r="E52" s="245"/>
      <c r="F52" s="245"/>
      <c r="G52" s="245"/>
      <c r="H52" s="245"/>
      <c r="I52" s="245"/>
      <c r="J52" s="245"/>
      <c r="K52" s="245"/>
      <c r="L52" s="245"/>
      <c r="M52" s="246"/>
    </row>
    <row r="53" spans="1:13" ht="54" customHeight="1" x14ac:dyDescent="0.2">
      <c r="A53" s="143"/>
      <c r="B53" s="146"/>
      <c r="C53" s="244" t="s">
        <v>159</v>
      </c>
      <c r="D53" s="245"/>
      <c r="E53" s="245"/>
      <c r="F53" s="245"/>
      <c r="G53" s="245"/>
      <c r="H53" s="245"/>
      <c r="I53" s="245"/>
      <c r="J53" s="245"/>
      <c r="K53" s="245"/>
      <c r="L53" s="245"/>
      <c r="M53" s="246"/>
    </row>
    <row r="54" spans="1:13" x14ac:dyDescent="0.2">
      <c r="A54" s="143"/>
      <c r="B54" s="146"/>
      <c r="C54" s="146"/>
      <c r="D54" s="146"/>
      <c r="E54" s="146"/>
      <c r="F54" s="146"/>
      <c r="G54" s="146"/>
      <c r="H54" s="146"/>
      <c r="I54" s="146"/>
      <c r="J54" s="146"/>
      <c r="K54" s="146"/>
      <c r="L54" s="146"/>
      <c r="M54" s="147"/>
    </row>
    <row r="55" spans="1:13" ht="13.5" thickBot="1" x14ac:dyDescent="0.25">
      <c r="A55" s="156"/>
      <c r="B55" s="157"/>
      <c r="C55" s="157"/>
      <c r="D55" s="157"/>
      <c r="E55" s="157"/>
      <c r="F55" s="157"/>
      <c r="G55" s="157"/>
      <c r="H55" s="157"/>
      <c r="I55" s="157"/>
      <c r="J55" s="157"/>
      <c r="K55" s="157"/>
      <c r="L55" s="157"/>
      <c r="M55" s="158"/>
    </row>
  </sheetData>
  <sheetProtection algorithmName="SHA-512" hashValue="KiIgvg8WXPrY+sYzOZIQllZcTYbLaRV0ZxQ5bh5jJbPAx5bdQk1PN5QpsQBrrS62Jq3RVf8YhyhYLsuDcfeSCw==" saltValue="nuMz+FzKCgl09XTEU7bB1g==" spinCount="100000" sheet="1" objects="1" scenarios="1"/>
  <mergeCells count="16">
    <mergeCell ref="C50:M50"/>
    <mergeCell ref="C53:M53"/>
    <mergeCell ref="A1:M1"/>
    <mergeCell ref="B7:M7"/>
    <mergeCell ref="B9:M9"/>
    <mergeCell ref="B10:M10"/>
    <mergeCell ref="D22:M22"/>
    <mergeCell ref="D23:M23"/>
    <mergeCell ref="D24:M24"/>
    <mergeCell ref="B5:M5"/>
    <mergeCell ref="C52:M52"/>
    <mergeCell ref="C49:M49"/>
    <mergeCell ref="E46:M46"/>
    <mergeCell ref="B3:M3"/>
    <mergeCell ref="D45:M45"/>
    <mergeCell ref="C51:M51"/>
  </mergeCell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C23" sqref="C23"/>
    </sheetView>
  </sheetViews>
  <sheetFormatPr baseColWidth="10" defaultRowHeight="12.75" x14ac:dyDescent="0.2"/>
  <cols>
    <col min="2" max="2" width="17.140625" customWidth="1"/>
    <col min="3" max="12" width="8.140625" customWidth="1"/>
  </cols>
  <sheetData>
    <row r="1" spans="1:12" ht="21.75" customHeight="1" x14ac:dyDescent="0.2">
      <c r="A1" s="63" t="s">
        <v>131</v>
      </c>
      <c r="B1" s="11"/>
      <c r="C1" s="1"/>
      <c r="D1" s="1"/>
    </row>
    <row r="2" spans="1:12" ht="15" x14ac:dyDescent="0.2">
      <c r="A2" s="183" t="s">
        <v>54</v>
      </c>
      <c r="B2" s="184"/>
      <c r="C2" s="257">
        <v>2018</v>
      </c>
      <c r="D2" s="258"/>
      <c r="E2" s="259">
        <v>2019</v>
      </c>
      <c r="F2" s="260"/>
      <c r="G2" s="257">
        <v>2020</v>
      </c>
      <c r="H2" s="258"/>
      <c r="I2" s="259">
        <v>2021</v>
      </c>
      <c r="J2" s="260"/>
      <c r="K2" s="261">
        <v>2022</v>
      </c>
      <c r="L2" s="262"/>
    </row>
    <row r="3" spans="1:12" ht="27" customHeight="1" x14ac:dyDescent="0.2">
      <c r="A3" s="185" t="s">
        <v>85</v>
      </c>
      <c r="B3" s="186"/>
      <c r="C3" s="254">
        <v>0.7</v>
      </c>
      <c r="D3" s="255"/>
      <c r="E3" s="254">
        <v>0.6</v>
      </c>
      <c r="F3" s="255"/>
      <c r="G3" s="254">
        <v>0.5</v>
      </c>
      <c r="H3" s="255"/>
      <c r="I3" s="254">
        <v>0.4</v>
      </c>
      <c r="J3" s="256"/>
      <c r="K3" s="254"/>
      <c r="L3" s="255"/>
    </row>
    <row r="4" spans="1:12" x14ac:dyDescent="0.2">
      <c r="A4" s="294" t="s">
        <v>86</v>
      </c>
      <c r="B4" s="293"/>
      <c r="C4" s="187"/>
      <c r="D4" s="188"/>
      <c r="E4" s="187"/>
      <c r="F4" s="188"/>
      <c r="G4" s="187"/>
      <c r="H4" s="188"/>
      <c r="I4" s="187"/>
      <c r="J4" s="189"/>
      <c r="K4" s="263" t="s">
        <v>90</v>
      </c>
      <c r="L4" s="264"/>
    </row>
    <row r="5" spans="1:12" x14ac:dyDescent="0.2">
      <c r="A5" s="294" t="s">
        <v>87</v>
      </c>
      <c r="B5" s="293"/>
      <c r="C5" s="187"/>
      <c r="D5" s="188"/>
      <c r="E5" s="187"/>
      <c r="F5" s="188"/>
      <c r="G5" s="187"/>
      <c r="H5" s="188"/>
      <c r="I5" s="187"/>
      <c r="J5" s="189"/>
      <c r="K5" s="263" t="s">
        <v>91</v>
      </c>
      <c r="L5" s="264"/>
    </row>
    <row r="6" spans="1:12" x14ac:dyDescent="0.2">
      <c r="A6" s="294" t="s">
        <v>133</v>
      </c>
      <c r="B6" s="293"/>
      <c r="C6" s="187"/>
      <c r="D6" s="188"/>
      <c r="E6" s="187"/>
      <c r="F6" s="188"/>
      <c r="G6" s="187"/>
      <c r="H6" s="188"/>
      <c r="I6" s="187"/>
      <c r="J6" s="189"/>
      <c r="K6" s="263" t="s">
        <v>92</v>
      </c>
      <c r="L6" s="264"/>
    </row>
    <row r="7" spans="1:12" x14ac:dyDescent="0.2">
      <c r="A7" s="295" t="s">
        <v>88</v>
      </c>
      <c r="B7" s="296"/>
      <c r="C7" s="190"/>
      <c r="D7" s="191"/>
      <c r="E7" s="190"/>
      <c r="F7" s="191"/>
      <c r="G7" s="190"/>
      <c r="H7" s="191"/>
      <c r="I7" s="190"/>
      <c r="J7" s="192"/>
      <c r="K7" s="265" t="s">
        <v>46</v>
      </c>
      <c r="L7" s="266"/>
    </row>
    <row r="8" spans="1:12" ht="42.75" customHeight="1" x14ac:dyDescent="0.2">
      <c r="A8" s="267" t="s">
        <v>122</v>
      </c>
      <c r="B8" s="268"/>
      <c r="C8" s="269">
        <v>6276</v>
      </c>
      <c r="D8" s="270"/>
      <c r="E8" s="269">
        <v>6276</v>
      </c>
      <c r="F8" s="270"/>
      <c r="G8" s="269">
        <v>6276</v>
      </c>
      <c r="H8" s="270"/>
      <c r="I8" s="269">
        <v>6276</v>
      </c>
      <c r="J8" s="271"/>
      <c r="K8" s="269">
        <v>6276</v>
      </c>
      <c r="L8" s="270"/>
    </row>
    <row r="9" spans="1:12" ht="36" customHeight="1" x14ac:dyDescent="0.2">
      <c r="A9" s="292" t="s">
        <v>68</v>
      </c>
      <c r="B9" s="293"/>
      <c r="C9" s="273">
        <v>7000</v>
      </c>
      <c r="D9" s="274"/>
      <c r="E9" s="273">
        <v>7000</v>
      </c>
      <c r="F9" s="274"/>
      <c r="G9" s="273">
        <v>7000</v>
      </c>
      <c r="H9" s="274"/>
      <c r="I9" s="273">
        <v>7000</v>
      </c>
      <c r="J9" s="275"/>
      <c r="K9" s="273">
        <v>7000</v>
      </c>
      <c r="L9" s="274"/>
    </row>
    <row r="10" spans="1:12" ht="29.25" customHeight="1" x14ac:dyDescent="0.2">
      <c r="A10" s="195" t="s">
        <v>129</v>
      </c>
      <c r="B10" s="196"/>
      <c r="C10" s="197"/>
      <c r="D10" s="198"/>
      <c r="E10" s="197"/>
      <c r="F10" s="198"/>
      <c r="G10" s="197"/>
      <c r="H10" s="198"/>
      <c r="I10" s="197"/>
      <c r="J10" s="199"/>
      <c r="K10" s="276">
        <v>450</v>
      </c>
      <c r="L10" s="277"/>
    </row>
    <row r="11" spans="1:12" ht="26.25" customHeight="1" x14ac:dyDescent="0.2">
      <c r="A11" s="267" t="s">
        <v>123</v>
      </c>
      <c r="B11" s="278"/>
      <c r="C11" s="272">
        <v>1250</v>
      </c>
      <c r="D11" s="262"/>
      <c r="E11" s="272">
        <v>1250</v>
      </c>
      <c r="F11" s="262"/>
      <c r="G11" s="272">
        <v>1250</v>
      </c>
      <c r="H11" s="262"/>
      <c r="I11" s="272">
        <v>1250</v>
      </c>
      <c r="J11" s="279"/>
      <c r="K11" s="272"/>
      <c r="L11" s="262"/>
    </row>
    <row r="12" spans="1:12" ht="26.25" customHeight="1" x14ac:dyDescent="0.2">
      <c r="A12" s="297" t="s">
        <v>47</v>
      </c>
      <c r="B12" s="296"/>
      <c r="C12" s="283">
        <v>500</v>
      </c>
      <c r="D12" s="284"/>
      <c r="E12" s="283">
        <v>500</v>
      </c>
      <c r="F12" s="284"/>
      <c r="G12" s="283">
        <v>500</v>
      </c>
      <c r="H12" s="284"/>
      <c r="I12" s="283">
        <v>500</v>
      </c>
      <c r="J12" s="285"/>
      <c r="K12" s="286"/>
      <c r="L12" s="287"/>
    </row>
    <row r="13" spans="1:12" ht="21" customHeight="1" x14ac:dyDescent="0.2">
      <c r="A13" s="288" t="s">
        <v>62</v>
      </c>
      <c r="B13" s="278"/>
      <c r="C13" s="280"/>
      <c r="D13" s="281"/>
      <c r="E13" s="280"/>
      <c r="F13" s="281"/>
      <c r="G13" s="280"/>
      <c r="H13" s="281"/>
      <c r="I13" s="280"/>
      <c r="J13" s="282"/>
      <c r="K13" s="280"/>
      <c r="L13" s="281"/>
    </row>
    <row r="14" spans="1:12" x14ac:dyDescent="0.2">
      <c r="A14" s="304" t="s">
        <v>63</v>
      </c>
      <c r="B14" s="293"/>
      <c r="C14" s="298">
        <v>5</v>
      </c>
      <c r="D14" s="299"/>
      <c r="E14" s="298">
        <v>5</v>
      </c>
      <c r="F14" s="299"/>
      <c r="G14" s="298">
        <v>5</v>
      </c>
      <c r="H14" s="299"/>
      <c r="I14" s="298">
        <v>5</v>
      </c>
      <c r="J14" s="300"/>
      <c r="K14" s="193"/>
      <c r="L14" s="194"/>
    </row>
    <row r="15" spans="1:12" x14ac:dyDescent="0.2">
      <c r="A15" s="304" t="s">
        <v>64</v>
      </c>
      <c r="B15" s="293"/>
      <c r="C15" s="298">
        <v>10</v>
      </c>
      <c r="D15" s="299"/>
      <c r="E15" s="298">
        <v>10</v>
      </c>
      <c r="F15" s="299"/>
      <c r="G15" s="298">
        <v>10</v>
      </c>
      <c r="H15" s="299"/>
      <c r="I15" s="298">
        <v>10</v>
      </c>
      <c r="J15" s="300"/>
      <c r="K15" s="193"/>
      <c r="L15" s="194"/>
    </row>
    <row r="16" spans="1:12" x14ac:dyDescent="0.2">
      <c r="A16" s="304" t="s">
        <v>65</v>
      </c>
      <c r="B16" s="293"/>
      <c r="C16" s="298">
        <v>15</v>
      </c>
      <c r="D16" s="299"/>
      <c r="E16" s="298">
        <v>15</v>
      </c>
      <c r="F16" s="299"/>
      <c r="G16" s="298">
        <v>15</v>
      </c>
      <c r="H16" s="299"/>
      <c r="I16" s="298">
        <v>15</v>
      </c>
      <c r="J16" s="300"/>
      <c r="K16" s="193"/>
      <c r="L16" s="194"/>
    </row>
    <row r="17" spans="1:12" x14ac:dyDescent="0.2">
      <c r="A17" s="304" t="s">
        <v>66</v>
      </c>
      <c r="B17" s="293"/>
      <c r="C17" s="298">
        <v>20</v>
      </c>
      <c r="D17" s="299"/>
      <c r="E17" s="298">
        <v>20</v>
      </c>
      <c r="F17" s="299"/>
      <c r="G17" s="298">
        <v>20</v>
      </c>
      <c r="H17" s="299"/>
      <c r="I17" s="298">
        <v>20</v>
      </c>
      <c r="J17" s="300"/>
      <c r="K17" s="193"/>
      <c r="L17" s="194"/>
    </row>
    <row r="18" spans="1:12" ht="32.25" customHeight="1" x14ac:dyDescent="0.2">
      <c r="A18" s="301" t="s">
        <v>143</v>
      </c>
      <c r="B18" s="302"/>
      <c r="C18" s="302"/>
      <c r="D18" s="302"/>
      <c r="E18" s="302"/>
      <c r="F18" s="302"/>
      <c r="G18" s="302"/>
      <c r="H18" s="302"/>
      <c r="I18" s="302"/>
      <c r="J18" s="302"/>
      <c r="K18" s="302"/>
      <c r="L18" s="303"/>
    </row>
    <row r="19" spans="1:12" ht="33" customHeight="1" x14ac:dyDescent="0.2">
      <c r="A19" s="289" t="s">
        <v>48</v>
      </c>
      <c r="B19" s="290"/>
      <c r="C19" s="290"/>
      <c r="D19" s="290"/>
      <c r="E19" s="290"/>
      <c r="F19" s="290"/>
      <c r="G19" s="290"/>
      <c r="H19" s="290"/>
      <c r="I19" s="290"/>
      <c r="J19" s="290"/>
      <c r="K19" s="290"/>
      <c r="L19" s="291"/>
    </row>
  </sheetData>
  <sheetProtection algorithmName="SHA-512" hashValue="in+uEVYDIJhU9jI2c8KHSVRrZrLg8Zs6O/03nuCRvmAJIfvkNbcdF3FWLdHqcdMFSeUJ3/dDu707MD7VNM+n4w==" saltValue="axLgufyNPJtI7WQ3Uyqc6g==" spinCount="100000" sheet="1" objects="1" scenarios="1"/>
  <mergeCells count="71">
    <mergeCell ref="A18:L18"/>
    <mergeCell ref="A14:B14"/>
    <mergeCell ref="A15:B15"/>
    <mergeCell ref="A16:B16"/>
    <mergeCell ref="A17:B17"/>
    <mergeCell ref="C14:D14"/>
    <mergeCell ref="E14:F14"/>
    <mergeCell ref="G14:H14"/>
    <mergeCell ref="I14:J14"/>
    <mergeCell ref="C15:D15"/>
    <mergeCell ref="E15:F15"/>
    <mergeCell ref="G15:H15"/>
    <mergeCell ref="I15:J15"/>
    <mergeCell ref="A13:B13"/>
    <mergeCell ref="A19:L19"/>
    <mergeCell ref="A9:B9"/>
    <mergeCell ref="A4:B4"/>
    <mergeCell ref="A5:B5"/>
    <mergeCell ref="A6:B6"/>
    <mergeCell ref="A7:B7"/>
    <mergeCell ref="A12:B12"/>
    <mergeCell ref="C16:D16"/>
    <mergeCell ref="E16:F16"/>
    <mergeCell ref="G16:H16"/>
    <mergeCell ref="I16:J16"/>
    <mergeCell ref="C17:D17"/>
    <mergeCell ref="E17:F17"/>
    <mergeCell ref="G17:H17"/>
    <mergeCell ref="I17:J17"/>
    <mergeCell ref="C12:D12"/>
    <mergeCell ref="E12:F12"/>
    <mergeCell ref="G12:H12"/>
    <mergeCell ref="I12:J12"/>
    <mergeCell ref="K12:L12"/>
    <mergeCell ref="C13:D13"/>
    <mergeCell ref="E13:F13"/>
    <mergeCell ref="G13:H13"/>
    <mergeCell ref="I13:J13"/>
    <mergeCell ref="K13:L13"/>
    <mergeCell ref="A11:B11"/>
    <mergeCell ref="C11:D11"/>
    <mergeCell ref="E11:F11"/>
    <mergeCell ref="G11:H11"/>
    <mergeCell ref="I11:J11"/>
    <mergeCell ref="K11:L11"/>
    <mergeCell ref="C9:D9"/>
    <mergeCell ref="E9:F9"/>
    <mergeCell ref="G9:H9"/>
    <mergeCell ref="I9:J9"/>
    <mergeCell ref="K9:L9"/>
    <mergeCell ref="K10:L10"/>
    <mergeCell ref="K4:L4"/>
    <mergeCell ref="K5:L5"/>
    <mergeCell ref="K6:L6"/>
    <mergeCell ref="K7:L7"/>
    <mergeCell ref="A8:B8"/>
    <mergeCell ref="C8:D8"/>
    <mergeCell ref="E8:F8"/>
    <mergeCell ref="G8:H8"/>
    <mergeCell ref="I8:J8"/>
    <mergeCell ref="K8:L8"/>
    <mergeCell ref="C2:D2"/>
    <mergeCell ref="E2:F2"/>
    <mergeCell ref="G2:H2"/>
    <mergeCell ref="I2:J2"/>
    <mergeCell ref="K2:L2"/>
    <mergeCell ref="C3:D3"/>
    <mergeCell ref="E3:F3"/>
    <mergeCell ref="G3:H3"/>
    <mergeCell ref="I3:J3"/>
    <mergeCell ref="K3:L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66"/>
  <sheetViews>
    <sheetView tabSelected="1" workbookViewId="0">
      <selection activeCell="G10" sqref="G10"/>
    </sheetView>
  </sheetViews>
  <sheetFormatPr baseColWidth="10" defaultRowHeight="12.75" x14ac:dyDescent="0.2"/>
  <cols>
    <col min="1" max="1" width="37" customWidth="1"/>
    <col min="2" max="2" width="4" style="19" customWidth="1"/>
    <col min="3" max="3" width="6.7109375" customWidth="1"/>
    <col min="4" max="4" width="5.28515625" customWidth="1"/>
    <col min="5" max="5" width="6.42578125" customWidth="1"/>
    <col min="6" max="6" width="5.28515625" customWidth="1"/>
    <col min="7" max="7" width="6" customWidth="1"/>
    <col min="8" max="8" width="6.7109375" customWidth="1"/>
    <col min="9" max="9" width="6.42578125" customWidth="1"/>
    <col min="10" max="10" width="5.28515625" customWidth="1"/>
    <col min="11" max="12" width="5.140625" customWidth="1"/>
    <col min="13" max="28" width="5.5703125" customWidth="1"/>
  </cols>
  <sheetData>
    <row r="1" spans="1:28" ht="29.25" customHeight="1" x14ac:dyDescent="0.2">
      <c r="A1" s="423" t="s">
        <v>79</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row>
    <row r="2" spans="1:28" s="38" customFormat="1" ht="10.5" customHeight="1" x14ac:dyDescent="0.2">
      <c r="A2" s="15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8" ht="20.25" customHeight="1" x14ac:dyDescent="0.2">
      <c r="A3" s="161" t="s">
        <v>94</v>
      </c>
      <c r="B3" s="162"/>
      <c r="C3" s="163"/>
      <c r="D3" s="163"/>
      <c r="E3" s="163"/>
      <c r="F3" s="164"/>
      <c r="G3" s="164"/>
      <c r="H3" s="165" t="str">
        <f>IF(AND($G$4="",$L$4=""),"Cocher la case correspondant à votre statut","")</f>
        <v>Cocher la case correspondant à votre statut</v>
      </c>
      <c r="I3" s="164"/>
      <c r="J3" s="164"/>
      <c r="K3" s="164"/>
      <c r="L3" s="164"/>
      <c r="M3" s="164"/>
      <c r="N3" s="164"/>
      <c r="O3" s="164"/>
      <c r="P3" s="164"/>
      <c r="Q3" s="164"/>
      <c r="R3" s="164"/>
      <c r="S3" s="179"/>
      <c r="T3" s="179"/>
      <c r="U3" s="179"/>
      <c r="V3" s="179"/>
      <c r="W3" s="179"/>
      <c r="X3" s="179"/>
      <c r="Y3" s="179"/>
      <c r="Z3" s="179"/>
      <c r="AA3" s="179"/>
      <c r="AB3" s="146"/>
    </row>
    <row r="4" spans="1:28" ht="27" customHeight="1" x14ac:dyDescent="0.2">
      <c r="A4" s="369" t="s">
        <v>125</v>
      </c>
      <c r="B4" s="370"/>
      <c r="C4" s="370"/>
      <c r="D4" s="370"/>
      <c r="E4" s="370"/>
      <c r="F4" s="370"/>
      <c r="G4" s="127"/>
      <c r="H4" s="56" t="s">
        <v>154</v>
      </c>
      <c r="I4" s="55"/>
      <c r="L4" s="128"/>
      <c r="M4" s="56" t="s">
        <v>45</v>
      </c>
      <c r="N4" s="55"/>
      <c r="O4" s="55"/>
      <c r="P4" s="55"/>
      <c r="Q4" s="55"/>
      <c r="R4" s="55"/>
      <c r="S4" s="372"/>
      <c r="T4" s="396"/>
      <c r="U4" s="396"/>
      <c r="V4" s="396"/>
      <c r="W4" s="396"/>
      <c r="X4" s="396"/>
      <c r="Y4" s="396"/>
      <c r="Z4" s="396"/>
      <c r="AA4" s="396"/>
      <c r="AB4" s="396"/>
    </row>
    <row r="5" spans="1:28" ht="12" customHeight="1" x14ac:dyDescent="0.2">
      <c r="A5" s="202"/>
      <c r="B5" s="203"/>
      <c r="C5" s="203"/>
      <c r="D5" s="203"/>
      <c r="E5" s="203"/>
      <c r="F5" s="203"/>
      <c r="G5" s="217"/>
      <c r="H5" s="56"/>
      <c r="I5" s="55"/>
      <c r="J5" s="38"/>
      <c r="K5" s="38"/>
      <c r="L5" s="218"/>
      <c r="M5" s="56"/>
      <c r="N5" s="55"/>
      <c r="O5" s="55"/>
      <c r="P5" s="55"/>
      <c r="Q5" s="55"/>
      <c r="R5" s="55"/>
      <c r="S5" s="220"/>
      <c r="T5" s="109"/>
      <c r="U5" s="220"/>
      <c r="V5" s="393"/>
      <c r="W5" s="359"/>
      <c r="X5" s="233"/>
      <c r="Y5" s="220"/>
      <c r="Z5" s="234"/>
      <c r="AA5" s="358"/>
      <c r="AB5" s="359"/>
    </row>
    <row r="6" spans="1:28" ht="14.25" customHeight="1" x14ac:dyDescent="0.2">
      <c r="A6" s="167"/>
      <c r="B6" s="168"/>
      <c r="C6" s="164"/>
      <c r="D6" s="164"/>
      <c r="E6" s="164"/>
      <c r="F6" s="164"/>
      <c r="G6" s="166"/>
      <c r="H6" s="165" t="str">
        <f>IF(AND($G$4&lt;&gt;"",$L$4&lt;&gt;""),"Attention, une seule case à cocher","")</f>
        <v/>
      </c>
      <c r="I6" s="164"/>
      <c r="J6" s="164"/>
      <c r="K6" s="164"/>
      <c r="L6" s="164"/>
      <c r="M6" s="164"/>
      <c r="N6" s="164"/>
      <c r="O6" s="164"/>
      <c r="P6" s="164"/>
      <c r="Q6" s="164"/>
      <c r="R6" s="164"/>
      <c r="S6" s="109"/>
      <c r="T6" s="109"/>
      <c r="U6" s="109"/>
      <c r="V6" s="394"/>
      <c r="W6" s="359"/>
      <c r="X6" s="109"/>
      <c r="Y6" s="109"/>
      <c r="Z6" s="109"/>
      <c r="AA6" s="360"/>
      <c r="AB6" s="359"/>
    </row>
    <row r="7" spans="1:28" ht="36" customHeight="1" x14ac:dyDescent="0.2">
      <c r="A7" s="41" t="s">
        <v>127</v>
      </c>
      <c r="B7" s="40" t="s">
        <v>10</v>
      </c>
      <c r="C7" s="321">
        <v>0</v>
      </c>
      <c r="D7" s="452"/>
      <c r="E7" s="169"/>
      <c r="F7" s="170" t="s">
        <v>20</v>
      </c>
      <c r="G7" s="130"/>
      <c r="H7" s="292" t="s">
        <v>145</v>
      </c>
      <c r="I7" s="392"/>
      <c r="J7" s="392"/>
      <c r="K7" s="392"/>
      <c r="L7" s="392"/>
      <c r="M7" s="392"/>
      <c r="N7" s="392"/>
      <c r="O7" s="392"/>
      <c r="P7" s="392"/>
      <c r="Q7" s="219"/>
      <c r="R7" s="219"/>
      <c r="S7" s="235"/>
      <c r="T7" s="236"/>
      <c r="U7" s="236"/>
      <c r="V7" s="395"/>
      <c r="W7" s="359"/>
      <c r="X7" s="237"/>
      <c r="Y7" s="238"/>
      <c r="Z7" s="237"/>
      <c r="AA7" s="361"/>
      <c r="AB7" s="362"/>
    </row>
    <row r="8" spans="1:28" ht="30" customHeight="1" x14ac:dyDescent="0.2">
      <c r="A8" s="41" t="s">
        <v>128</v>
      </c>
      <c r="B8" s="40" t="s">
        <v>11</v>
      </c>
      <c r="C8" s="323">
        <v>0</v>
      </c>
      <c r="D8" s="453"/>
      <c r="E8" s="171"/>
      <c r="F8" s="172" t="s">
        <v>21</v>
      </c>
      <c r="G8" s="131"/>
      <c r="H8" s="390" t="s">
        <v>104</v>
      </c>
      <c r="I8" s="391"/>
      <c r="J8" s="391"/>
      <c r="K8" s="391"/>
      <c r="L8" s="391"/>
      <c r="M8" s="392"/>
      <c r="N8" s="392"/>
      <c r="O8" s="392"/>
      <c r="P8" s="392"/>
      <c r="Q8" s="392"/>
      <c r="R8" s="392"/>
      <c r="S8" s="209"/>
      <c r="T8" s="206"/>
      <c r="U8" s="206"/>
      <c r="V8" s="206"/>
      <c r="W8" s="166"/>
      <c r="X8" s="166"/>
      <c r="Y8" s="166"/>
      <c r="Z8" s="166"/>
      <c r="AA8" s="166"/>
      <c r="AB8" s="166"/>
    </row>
    <row r="9" spans="1:28" ht="8.25" customHeight="1" x14ac:dyDescent="0.2">
      <c r="A9" s="146"/>
      <c r="B9" s="173"/>
      <c r="C9" s="174"/>
      <c r="D9" s="174"/>
      <c r="E9" s="166"/>
      <c r="F9" s="166"/>
      <c r="G9" s="166"/>
      <c r="H9" s="166"/>
      <c r="I9" s="166"/>
      <c r="J9" s="166"/>
      <c r="K9" s="166"/>
      <c r="L9" s="166"/>
      <c r="M9" s="166"/>
      <c r="N9" s="166"/>
      <c r="O9" s="166"/>
      <c r="P9" s="166"/>
      <c r="Q9" s="166"/>
      <c r="R9" s="166"/>
      <c r="S9" s="166"/>
      <c r="T9" s="166"/>
      <c r="U9" s="166"/>
      <c r="V9" s="166"/>
      <c r="W9" s="166"/>
      <c r="X9" s="166"/>
      <c r="Y9" s="166"/>
      <c r="Z9" s="166"/>
      <c r="AA9" s="166"/>
      <c r="AB9" s="166"/>
    </row>
    <row r="10" spans="1:28" ht="14.25" customHeight="1" x14ac:dyDescent="0.2">
      <c r="A10" s="146" t="s">
        <v>126</v>
      </c>
      <c r="B10" s="173"/>
      <c r="C10" s="174"/>
      <c r="D10" s="174"/>
      <c r="E10" s="166"/>
      <c r="F10" s="166"/>
      <c r="G10" s="166"/>
      <c r="H10" s="166"/>
      <c r="I10" s="166"/>
      <c r="J10" s="166"/>
      <c r="K10" s="166"/>
      <c r="L10" s="166"/>
      <c r="M10" s="166"/>
      <c r="N10" s="166"/>
      <c r="O10" s="166"/>
      <c r="P10" s="166"/>
      <c r="Q10" s="166"/>
      <c r="R10" s="166"/>
      <c r="S10" s="109"/>
      <c r="T10" s="109"/>
      <c r="U10" s="109"/>
      <c r="V10" s="109"/>
      <c r="W10" s="109"/>
      <c r="X10" s="109"/>
      <c r="Y10" s="109"/>
      <c r="Z10" s="109"/>
      <c r="AA10" s="109"/>
      <c r="AB10" s="109"/>
    </row>
    <row r="11" spans="1:28" ht="22.5" customHeight="1" x14ac:dyDescent="0.2">
      <c r="A11" s="427" t="s">
        <v>136</v>
      </c>
      <c r="B11" s="428"/>
      <c r="C11" s="240">
        <v>0</v>
      </c>
      <c r="D11" s="383" t="s">
        <v>134</v>
      </c>
      <c r="E11" s="384"/>
      <c r="F11" s="384"/>
      <c r="G11" s="384"/>
      <c r="H11" s="384"/>
      <c r="I11" s="384"/>
      <c r="J11" s="384"/>
      <c r="K11" s="384"/>
      <c r="L11" s="384"/>
      <c r="M11" s="385"/>
      <c r="N11" s="385"/>
      <c r="O11" s="385"/>
      <c r="P11" s="386"/>
      <c r="Q11" s="315">
        <f>IF(AND(C12=0,C11&gt;2844),2844,IF(AND(C11=0,C12&gt;2844),2844,IF(C11+C12&gt;3555,3555,C11+C12)))</f>
        <v>0</v>
      </c>
      <c r="R11" s="316"/>
      <c r="S11" s="215" t="s">
        <v>42</v>
      </c>
      <c r="T11" s="109"/>
      <c r="U11" s="109"/>
      <c r="V11" s="109"/>
      <c r="W11" s="109"/>
      <c r="X11" s="109"/>
      <c r="Y11" s="109"/>
      <c r="Z11" s="109"/>
      <c r="AA11" s="109"/>
      <c r="AB11" s="109"/>
    </row>
    <row r="12" spans="1:28" ht="18" customHeight="1" x14ac:dyDescent="0.2">
      <c r="A12" s="427" t="s">
        <v>137</v>
      </c>
      <c r="B12" s="428"/>
      <c r="C12" s="240">
        <v>0</v>
      </c>
      <c r="D12" s="379" t="s">
        <v>135</v>
      </c>
      <c r="E12" s="380"/>
      <c r="F12" s="380"/>
      <c r="G12" s="380"/>
      <c r="H12" s="380"/>
      <c r="I12" s="380"/>
      <c r="J12" s="380"/>
      <c r="K12" s="380"/>
      <c r="L12" s="380"/>
      <c r="M12" s="381"/>
      <c r="N12" s="381"/>
      <c r="O12" s="381"/>
      <c r="P12" s="382"/>
      <c r="Q12" s="373">
        <f>IF(AND(C11+C12=0,C13&lt;2400),C13,IF(AND(C11+C12=0,C13&gt;=2400),2400,0))</f>
        <v>0</v>
      </c>
      <c r="R12" s="322"/>
      <c r="S12" s="216"/>
      <c r="T12" s="109"/>
      <c r="U12" s="109"/>
      <c r="V12" s="109"/>
      <c r="W12" s="109"/>
      <c r="X12" s="109"/>
      <c r="Y12" s="109"/>
      <c r="Z12" s="109"/>
      <c r="AA12" s="109"/>
      <c r="AB12" s="109"/>
    </row>
    <row r="13" spans="1:28" ht="21" customHeight="1" x14ac:dyDescent="0.25">
      <c r="A13" s="429" t="s">
        <v>138</v>
      </c>
      <c r="B13" s="430"/>
      <c r="C13" s="239">
        <v>0</v>
      </c>
      <c r="D13" s="175"/>
      <c r="E13" s="376" t="s">
        <v>156</v>
      </c>
      <c r="F13" s="376"/>
      <c r="G13" s="376"/>
      <c r="H13" s="376"/>
      <c r="I13" s="376"/>
      <c r="J13" s="376"/>
      <c r="K13" s="376"/>
      <c r="L13" s="376"/>
      <c r="M13" s="377"/>
      <c r="N13" s="377"/>
      <c r="O13" s="377"/>
      <c r="P13" s="378"/>
      <c r="Q13" s="317">
        <f>Q14-(Q11+Q12)</f>
        <v>7000</v>
      </c>
      <c r="R13" s="318"/>
      <c r="S13" s="241" t="s">
        <v>124</v>
      </c>
      <c r="T13" s="108"/>
      <c r="U13" s="371"/>
      <c r="V13" s="372"/>
      <c r="W13" s="371"/>
      <c r="X13" s="372"/>
      <c r="Y13" s="371"/>
      <c r="Z13" s="372"/>
      <c r="AA13" s="371"/>
      <c r="AB13" s="372"/>
    </row>
    <row r="14" spans="1:28" ht="27" customHeight="1" x14ac:dyDescent="0.2">
      <c r="A14" s="387" t="s">
        <v>139</v>
      </c>
      <c r="B14" s="388"/>
      <c r="C14" s="388"/>
      <c r="D14" s="388"/>
      <c r="E14" s="388"/>
      <c r="F14" s="388"/>
      <c r="G14" s="388"/>
      <c r="H14" s="388"/>
      <c r="I14" s="388"/>
      <c r="J14" s="388"/>
      <c r="K14" s="388"/>
      <c r="L14" s="388"/>
      <c r="M14" s="389"/>
      <c r="N14" s="389"/>
      <c r="O14" s="389"/>
      <c r="P14" s="389"/>
      <c r="Q14" s="319">
        <v>7000</v>
      </c>
      <c r="R14" s="320"/>
      <c r="S14" s="139" t="s">
        <v>124</v>
      </c>
      <c r="T14" s="214"/>
      <c r="U14" s="214"/>
      <c r="V14" s="214"/>
      <c r="W14" s="214"/>
      <c r="X14" s="214"/>
      <c r="Y14" s="214"/>
      <c r="Z14" s="214"/>
      <c r="AA14" s="214"/>
      <c r="AB14" s="214"/>
    </row>
    <row r="15" spans="1:28" ht="14.25" customHeight="1" x14ac:dyDescent="0.2">
      <c r="A15" s="176" t="str">
        <f>IF(AND(C11+C12&lt;&gt;0,C13&lt;&gt;0),"Attention, il n'est pas possible d'avoir un abondement employeur à la fois sur l'EPI et sur le PEE PERCO","")</f>
        <v/>
      </c>
      <c r="B15" s="177"/>
      <c r="C15" s="166"/>
      <c r="D15" s="166"/>
      <c r="E15" s="166"/>
      <c r="F15" s="166"/>
      <c r="G15" s="166"/>
      <c r="H15" s="166"/>
      <c r="I15" s="166"/>
      <c r="J15" s="166"/>
      <c r="K15" s="166"/>
      <c r="L15" s="166"/>
      <c r="M15" s="178"/>
      <c r="N15" s="179"/>
      <c r="O15" s="178"/>
      <c r="P15" s="179"/>
      <c r="Q15" s="178"/>
      <c r="R15" s="179"/>
      <c r="S15" s="213"/>
      <c r="T15" s="108"/>
      <c r="U15" s="213"/>
      <c r="V15" s="108"/>
      <c r="W15" s="213"/>
      <c r="X15" s="108"/>
      <c r="Y15" s="213"/>
      <c r="Z15" s="108"/>
      <c r="AA15" s="213"/>
      <c r="AB15" s="108"/>
    </row>
    <row r="16" spans="1:28" ht="15.75" customHeight="1" x14ac:dyDescent="0.2">
      <c r="A16" s="449" t="str">
        <f>IF(AND(C13&lt;&gt;0,C11+C12=0),"A compter de votre entrée dans le dispositif, c'est sur le PEE et le PERCO que doivent être versés les abondements employeur, et non plus sur l'EPI","")</f>
        <v/>
      </c>
      <c r="B16" s="177"/>
      <c r="C16" s="166"/>
      <c r="D16" s="166"/>
      <c r="E16" s="166"/>
      <c r="F16" s="166"/>
      <c r="G16" s="166"/>
      <c r="H16" s="166"/>
      <c r="I16" s="166"/>
      <c r="J16" s="166"/>
      <c r="K16" s="166"/>
      <c r="L16" s="166"/>
      <c r="M16" s="178"/>
      <c r="N16" s="179"/>
      <c r="O16" s="178"/>
      <c r="P16" s="179"/>
      <c r="Q16" s="178"/>
      <c r="R16" s="179"/>
      <c r="S16" s="178"/>
      <c r="T16" s="179"/>
      <c r="U16" s="178"/>
      <c r="V16" s="179"/>
      <c r="W16" s="178"/>
      <c r="X16" s="179"/>
      <c r="Y16" s="178"/>
      <c r="Z16" s="179"/>
      <c r="AA16" s="178"/>
      <c r="AB16" s="179"/>
    </row>
    <row r="17" spans="1:28" ht="28.5" customHeight="1" x14ac:dyDescent="0.2">
      <c r="A17" s="180" t="s">
        <v>83</v>
      </c>
      <c r="B17" s="181"/>
      <c r="C17" s="182"/>
      <c r="D17" s="182"/>
      <c r="E17" s="182"/>
      <c r="F17" s="182"/>
      <c r="G17" s="182"/>
      <c r="H17" s="182"/>
      <c r="I17" s="182"/>
      <c r="J17" s="182"/>
      <c r="K17" s="182"/>
      <c r="L17" s="182"/>
      <c r="M17" s="178"/>
      <c r="N17" s="178"/>
      <c r="O17" s="178"/>
      <c r="P17" s="178"/>
      <c r="Q17" s="178"/>
      <c r="R17" s="178"/>
      <c r="S17" s="178"/>
      <c r="T17" s="178"/>
      <c r="U17" s="178"/>
      <c r="V17" s="178"/>
      <c r="W17" s="178"/>
      <c r="X17" s="178"/>
      <c r="Y17" s="178"/>
      <c r="Z17" s="178"/>
      <c r="AA17" s="178"/>
      <c r="AB17" s="178"/>
    </row>
    <row r="18" spans="1:28" ht="27" customHeight="1" x14ac:dyDescent="0.2">
      <c r="A18" s="231" t="s">
        <v>81</v>
      </c>
      <c r="B18" s="232"/>
      <c r="C18" s="399">
        <v>2018</v>
      </c>
      <c r="D18" s="400"/>
      <c r="E18" s="374">
        <v>2019</v>
      </c>
      <c r="F18" s="375"/>
      <c r="G18" s="399">
        <v>2020</v>
      </c>
      <c r="H18" s="400"/>
      <c r="I18" s="374">
        <v>2021</v>
      </c>
      <c r="J18" s="375"/>
      <c r="K18" s="399">
        <v>2022</v>
      </c>
      <c r="L18" s="400"/>
      <c r="M18" s="399">
        <v>2023</v>
      </c>
      <c r="N18" s="400"/>
      <c r="O18" s="399">
        <v>2024</v>
      </c>
      <c r="P18" s="400"/>
      <c r="Q18" s="399">
        <v>2025</v>
      </c>
      <c r="R18" s="400"/>
      <c r="S18" s="399">
        <v>2026</v>
      </c>
      <c r="T18" s="400"/>
      <c r="U18" s="399">
        <v>2027</v>
      </c>
      <c r="V18" s="400"/>
      <c r="W18" s="399">
        <v>2028</v>
      </c>
      <c r="X18" s="400"/>
      <c r="Y18" s="399">
        <v>2029</v>
      </c>
      <c r="Z18" s="400"/>
      <c r="AA18" s="399">
        <v>2030</v>
      </c>
      <c r="AB18" s="400"/>
    </row>
    <row r="19" spans="1:28" ht="32.25" customHeight="1" x14ac:dyDescent="0.2">
      <c r="A19" s="94" t="s">
        <v>59</v>
      </c>
      <c r="B19" s="95"/>
      <c r="C19" s="354">
        <f>($C$8/12*3)+($C$8/120*$C$7)</f>
        <v>0</v>
      </c>
      <c r="D19" s="355"/>
      <c r="E19" s="354">
        <f t="shared" ref="E19" si="0">($C$8/12*3)+($C$8/120*$C$7)</f>
        <v>0</v>
      </c>
      <c r="F19" s="355"/>
      <c r="G19" s="354">
        <f t="shared" ref="G19" si="1">($C$8/12*3)+($C$8/120*$C$7)</f>
        <v>0</v>
      </c>
      <c r="H19" s="355"/>
      <c r="I19" s="354">
        <f t="shared" ref="I19" si="2">($C$8/12*3)+($C$8/120*$C$7)</f>
        <v>0</v>
      </c>
      <c r="J19" s="355"/>
      <c r="K19" s="354">
        <f t="shared" ref="K19" si="3">($C$8/12*3)+($C$8/120*$C$7)</f>
        <v>0</v>
      </c>
      <c r="L19" s="355"/>
      <c r="M19" s="354">
        <f t="shared" ref="M19" si="4">($C$8/12*3)+($C$8/120*$C$7)</f>
        <v>0</v>
      </c>
      <c r="N19" s="355"/>
      <c r="O19" s="354">
        <f t="shared" ref="O19" si="5">($C$8/12*3)+($C$8/120*$C$7)</f>
        <v>0</v>
      </c>
      <c r="P19" s="355"/>
      <c r="Q19" s="354">
        <f t="shared" ref="Q19" si="6">($C$8/12*3)+($C$8/120*$C$7)</f>
        <v>0</v>
      </c>
      <c r="R19" s="355"/>
      <c r="S19" s="354">
        <f t="shared" ref="S19" si="7">($C$8/12*3)+($C$8/120*$C$7)</f>
        <v>0</v>
      </c>
      <c r="T19" s="355"/>
      <c r="U19" s="354">
        <f t="shared" ref="U19" si="8">($C$8/12*3)+($C$8/120*$C$7)</f>
        <v>0</v>
      </c>
      <c r="V19" s="355"/>
      <c r="W19" s="354">
        <f t="shared" ref="W19" si="9">($C$8/12*3)+($C$8/120*$C$7)</f>
        <v>0</v>
      </c>
      <c r="X19" s="355"/>
      <c r="Y19" s="354">
        <f t="shared" ref="Y19" si="10">($C$8/12*3)+($C$8/120*$C$7)</f>
        <v>0</v>
      </c>
      <c r="Z19" s="355"/>
      <c r="AA19" s="354">
        <f t="shared" ref="AA19" si="11">($C$8/12*3)+($C$8/120*$C$7)</f>
        <v>0</v>
      </c>
      <c r="AB19" s="355"/>
    </row>
    <row r="20" spans="1:28" ht="35.25" customHeight="1" x14ac:dyDescent="0.2">
      <c r="A20" s="96" t="s">
        <v>60</v>
      </c>
      <c r="B20" s="97"/>
      <c r="C20" s="354">
        <f>IF($L$4="",(C19-(C19*C61)),(C19-(C19*C64)))</f>
        <v>0</v>
      </c>
      <c r="D20" s="355"/>
      <c r="E20" s="354">
        <f t="shared" ref="E20" si="12">IF($L$4="",(E19-(E19*E61)),(E19-(E19*E64)))</f>
        <v>0</v>
      </c>
      <c r="F20" s="355"/>
      <c r="G20" s="354">
        <f t="shared" ref="G20" si="13">IF($L$4="",(G19-(G19*G61)),(G19-(G19*G64)))</f>
        <v>0</v>
      </c>
      <c r="H20" s="355"/>
      <c r="I20" s="354">
        <f t="shared" ref="I20" si="14">IF($L$4="",(I19-(I19*I61)),(I19-(I19*I64)))</f>
        <v>0</v>
      </c>
      <c r="J20" s="355"/>
      <c r="K20" s="354">
        <f t="shared" ref="K20" si="15">IF($L$4="",(K19-(K19*K61)),(K19-(K19*K64)))</f>
        <v>0</v>
      </c>
      <c r="L20" s="355"/>
      <c r="M20" s="354">
        <f t="shared" ref="M20" si="16">IF($L$4="",(M19-(M19*M61)),(M19-(M19*M64)))</f>
        <v>0</v>
      </c>
      <c r="N20" s="355"/>
      <c r="O20" s="354">
        <f t="shared" ref="O20" si="17">IF($L$4="",(O19-(O19*O61)),(O19-(O19*O64)))</f>
        <v>0</v>
      </c>
      <c r="P20" s="355"/>
      <c r="Q20" s="354">
        <f t="shared" ref="Q20" si="18">IF($L$4="",(Q19-(Q19*Q61)),(Q19-(Q19*Q64)))</f>
        <v>0</v>
      </c>
      <c r="R20" s="355"/>
      <c r="S20" s="354">
        <f t="shared" ref="S20" si="19">IF($L$4="",(S19-(S19*S61)),(S19-(S19*S64)))</f>
        <v>0</v>
      </c>
      <c r="T20" s="355"/>
      <c r="U20" s="354">
        <f t="shared" ref="U20" si="20">IF($L$4="",(U19-(U19*U61)),(U19-(U19*U64)))</f>
        <v>0</v>
      </c>
      <c r="V20" s="355"/>
      <c r="W20" s="354">
        <f t="shared" ref="W20" si="21">IF($L$4="",(W19-(W19*W61)),(W19-(W19*W64)))</f>
        <v>0</v>
      </c>
      <c r="X20" s="355"/>
      <c r="Y20" s="354">
        <f t="shared" ref="Y20" si="22">IF($L$4="",(Y19-(Y19*Y61)),(Y19-(Y19*Y64)))</f>
        <v>0</v>
      </c>
      <c r="Z20" s="355"/>
      <c r="AA20" s="354">
        <f t="shared" ref="AA20" si="23">IF($L$4="",(AA19-(AA19*AA61)),(AA19-(AA19*AA64)))</f>
        <v>0</v>
      </c>
      <c r="AB20" s="355"/>
    </row>
    <row r="21" spans="1:28" ht="35.25" customHeight="1" x14ac:dyDescent="0.2">
      <c r="A21" s="229" t="s">
        <v>56</v>
      </c>
      <c r="B21" s="230"/>
      <c r="C21" s="365">
        <f>C20*70%</f>
        <v>0</v>
      </c>
      <c r="D21" s="366"/>
      <c r="E21" s="365">
        <f>E20*60%</f>
        <v>0</v>
      </c>
      <c r="F21" s="366"/>
      <c r="G21" s="365">
        <f>G20*50%</f>
        <v>0</v>
      </c>
      <c r="H21" s="366"/>
      <c r="I21" s="365">
        <f>I20*40%</f>
        <v>0</v>
      </c>
      <c r="J21" s="366"/>
      <c r="K21" s="365">
        <f>+'Détail du calcul'!K21:L21</f>
        <v>0</v>
      </c>
      <c r="L21" s="366"/>
      <c r="M21" s="365">
        <f>K21</f>
        <v>0</v>
      </c>
      <c r="N21" s="366"/>
      <c r="O21" s="365">
        <f>M21</f>
        <v>0</v>
      </c>
      <c r="P21" s="366"/>
      <c r="Q21" s="365">
        <f t="shared" ref="Q21" si="24">O21</f>
        <v>0</v>
      </c>
      <c r="R21" s="366"/>
      <c r="S21" s="365">
        <f t="shared" ref="S21" si="25">Q21</f>
        <v>0</v>
      </c>
      <c r="T21" s="366"/>
      <c r="U21" s="365">
        <f t="shared" ref="U21" si="26">S21</f>
        <v>0</v>
      </c>
      <c r="V21" s="366"/>
      <c r="W21" s="365">
        <f t="shared" ref="W21" si="27">U21</f>
        <v>0</v>
      </c>
      <c r="X21" s="366"/>
      <c r="Y21" s="365">
        <f t="shared" ref="Y21" si="28">W21</f>
        <v>0</v>
      </c>
      <c r="Z21" s="366"/>
      <c r="AA21" s="365">
        <f t="shared" ref="AA21" si="29">Y21</f>
        <v>0</v>
      </c>
      <c r="AB21" s="366"/>
    </row>
    <row r="22" spans="1:28" ht="35.25" customHeight="1" x14ac:dyDescent="0.2">
      <c r="A22" s="419" t="s">
        <v>141</v>
      </c>
      <c r="B22" s="420"/>
      <c r="C22" s="367">
        <f>IF($C$7&gt;=15,$Q$13,0)</f>
        <v>0</v>
      </c>
      <c r="D22" s="368"/>
      <c r="E22" s="421">
        <f>IF($C$7&gt;=15,$Q$13,0)</f>
        <v>0</v>
      </c>
      <c r="F22" s="422"/>
      <c r="G22" s="367">
        <f>IF($C$7&gt;=15,$Q$13,0)</f>
        <v>0</v>
      </c>
      <c r="H22" s="368"/>
      <c r="I22" s="421">
        <f>IF($C$7&gt;=15,$Q$13,0)</f>
        <v>0</v>
      </c>
      <c r="J22" s="422"/>
      <c r="K22" s="367">
        <f>IF($C$7&gt;=15,$Q$13,0)</f>
        <v>0</v>
      </c>
      <c r="L22" s="368"/>
      <c r="M22" s="367">
        <f>IF($C$7&gt;=15,$Q$13,0)</f>
        <v>0</v>
      </c>
      <c r="N22" s="368"/>
      <c r="O22" s="367">
        <f>IF($C$7&gt;=15,$Q$13,0)</f>
        <v>0</v>
      </c>
      <c r="P22" s="368"/>
      <c r="Q22" s="367">
        <f>IF($C$7&gt;=15,$Q$13,0)</f>
        <v>0</v>
      </c>
      <c r="R22" s="368"/>
      <c r="S22" s="367">
        <f>IF($C$7&gt;=15,$Q$13,0)</f>
        <v>0</v>
      </c>
      <c r="T22" s="368"/>
      <c r="U22" s="367">
        <f>IF($C$7&gt;=15,$Q$13,0)</f>
        <v>0</v>
      </c>
      <c r="V22" s="368"/>
      <c r="W22" s="367">
        <f>IF($C$7&gt;=15,$Q$13,0)</f>
        <v>0</v>
      </c>
      <c r="X22" s="368"/>
      <c r="Y22" s="367">
        <f>IF($C$7&gt;=15,$Q$13,0)</f>
        <v>0</v>
      </c>
      <c r="Z22" s="368"/>
      <c r="AA22" s="367">
        <f>IF($C$7&gt;=15,$Q$13,0)</f>
        <v>0</v>
      </c>
      <c r="AB22" s="368"/>
    </row>
    <row r="23" spans="1:28" ht="35.25" customHeight="1" x14ac:dyDescent="0.2">
      <c r="A23" s="425" t="s">
        <v>80</v>
      </c>
      <c r="B23" s="426"/>
      <c r="C23" s="354">
        <f>IF($L$4="",(C22-(C22*C63)),(C22-(C22*C66)))</f>
        <v>0</v>
      </c>
      <c r="D23" s="355"/>
      <c r="E23" s="354">
        <f t="shared" ref="E23" si="30">IF($L$4="",(E22-(E22*E63)),(E22-(E22*E66)))</f>
        <v>0</v>
      </c>
      <c r="F23" s="355"/>
      <c r="G23" s="354">
        <f t="shared" ref="G23" si="31">IF($L$4="",(G22-(G22*G63)),(G22-(G22*G66)))</f>
        <v>0</v>
      </c>
      <c r="H23" s="355"/>
      <c r="I23" s="354">
        <f t="shared" ref="I23" si="32">IF($L$4="",(I22-(I22*I63)),(I22-(I22*I66)))</f>
        <v>0</v>
      </c>
      <c r="J23" s="355"/>
      <c r="K23" s="354">
        <f t="shared" ref="K23" si="33">IF($L$4="",(K22-(K22*K63)),(K22-(K22*K66)))</f>
        <v>0</v>
      </c>
      <c r="L23" s="355"/>
      <c r="M23" s="354">
        <f t="shared" ref="M23" si="34">IF($L$4="",(M22-(M22*M63)),(M22-(M22*M66)))</f>
        <v>0</v>
      </c>
      <c r="N23" s="355"/>
      <c r="O23" s="354">
        <f t="shared" ref="O23" si="35">IF($L$4="",(O22-(O22*O63)),(O22-(O22*O66)))</f>
        <v>0</v>
      </c>
      <c r="P23" s="355"/>
      <c r="Q23" s="354">
        <f t="shared" ref="Q23" si="36">IF($L$4="",(Q22-(Q22*Q63)),(Q22-(Q22*Q66)))</f>
        <v>0</v>
      </c>
      <c r="R23" s="355"/>
      <c r="S23" s="354">
        <f t="shared" ref="S23" si="37">IF($L$4="",(S22-(S22*S63)),(S22-(S22*S66)))</f>
        <v>0</v>
      </c>
      <c r="T23" s="355"/>
      <c r="U23" s="354">
        <f t="shared" ref="U23" si="38">IF($L$4="",(U22-(U22*U63)),(U22-(U22*U66)))</f>
        <v>0</v>
      </c>
      <c r="V23" s="355"/>
      <c r="W23" s="354">
        <f t="shared" ref="W23" si="39">IF($L$4="",(W22-(W22*W63)),(W22-(W22*W66)))</f>
        <v>0</v>
      </c>
      <c r="X23" s="355"/>
      <c r="Y23" s="354">
        <f t="shared" ref="Y23" si="40">IF($L$4="",(Y22-(Y22*Y63)),(Y22-(Y22*Y66)))</f>
        <v>0</v>
      </c>
      <c r="Z23" s="355"/>
      <c r="AA23" s="354">
        <f t="shared" ref="AA23" si="41">IF($L$4="",(AA22-(AA22*AA63)),(AA22-(AA22*AA66)))</f>
        <v>0</v>
      </c>
      <c r="AB23" s="355"/>
    </row>
    <row r="24" spans="1:28" ht="35.25" customHeight="1" x14ac:dyDescent="0.2">
      <c r="A24" s="229" t="s">
        <v>140</v>
      </c>
      <c r="B24" s="230"/>
      <c r="C24" s="365">
        <f>C23</f>
        <v>0</v>
      </c>
      <c r="D24" s="366"/>
      <c r="E24" s="401">
        <f>C24+E23</f>
        <v>0</v>
      </c>
      <c r="F24" s="402"/>
      <c r="G24" s="365">
        <f>E24+G23</f>
        <v>0</v>
      </c>
      <c r="H24" s="366"/>
      <c r="I24" s="401">
        <f>G24+I23</f>
        <v>0</v>
      </c>
      <c r="J24" s="402"/>
      <c r="K24" s="365">
        <f>I24+K23</f>
        <v>0</v>
      </c>
      <c r="L24" s="366"/>
      <c r="M24" s="365">
        <f>M23+K23+I23+G23+E23</f>
        <v>0</v>
      </c>
      <c r="N24" s="366"/>
      <c r="O24" s="365">
        <f t="shared" ref="O24" si="42">O23+M23+K23+I23+G23</f>
        <v>0</v>
      </c>
      <c r="P24" s="366"/>
      <c r="Q24" s="365">
        <f t="shared" ref="Q24" si="43">Q23+O23+M23+K23+I23</f>
        <v>0</v>
      </c>
      <c r="R24" s="366"/>
      <c r="S24" s="365">
        <f t="shared" ref="S24" si="44">S23+Q23+O23+M23+K23</f>
        <v>0</v>
      </c>
      <c r="T24" s="366"/>
      <c r="U24" s="365">
        <f t="shared" ref="U24" si="45">U23+S23+Q23+O23+M23</f>
        <v>0</v>
      </c>
      <c r="V24" s="366"/>
      <c r="W24" s="365">
        <f t="shared" ref="W24" si="46">W23+U23+S23+Q23+O23</f>
        <v>0</v>
      </c>
      <c r="X24" s="366"/>
      <c r="Y24" s="365">
        <f t="shared" ref="Y24" si="47">Y23+W23+U23+S23+Q23</f>
        <v>0</v>
      </c>
      <c r="Z24" s="366"/>
      <c r="AA24" s="365">
        <f t="shared" ref="AA24" si="48">AA23+Y23+W23+U23+S23</f>
        <v>0</v>
      </c>
      <c r="AB24" s="366"/>
    </row>
    <row r="25" spans="1:28" ht="35.25" customHeight="1" x14ac:dyDescent="0.2">
      <c r="A25" s="332" t="s">
        <v>155</v>
      </c>
      <c r="B25" s="333"/>
      <c r="C25" s="363">
        <v>0</v>
      </c>
      <c r="D25" s="364"/>
      <c r="E25" s="397">
        <v>0</v>
      </c>
      <c r="F25" s="398"/>
      <c r="G25" s="363">
        <v>0</v>
      </c>
      <c r="H25" s="364"/>
      <c r="I25" s="397">
        <v>0</v>
      </c>
      <c r="J25" s="398"/>
      <c r="K25" s="363">
        <f>450-(450*K63)</f>
        <v>414</v>
      </c>
      <c r="L25" s="364"/>
      <c r="M25" s="363">
        <f t="shared" ref="M25" si="49">450-(450*M63)</f>
        <v>414</v>
      </c>
      <c r="N25" s="364"/>
      <c r="O25" s="363">
        <f t="shared" ref="O25" si="50">450-(450*O63)</f>
        <v>414</v>
      </c>
      <c r="P25" s="364"/>
      <c r="Q25" s="363">
        <f t="shared" ref="Q25" si="51">450-(450*Q63)</f>
        <v>414</v>
      </c>
      <c r="R25" s="364"/>
      <c r="S25" s="363">
        <f t="shared" ref="S25" si="52">450-(450*S63)</f>
        <v>414</v>
      </c>
      <c r="T25" s="364"/>
      <c r="U25" s="363">
        <f t="shared" ref="U25" si="53">450-(450*U63)</f>
        <v>414</v>
      </c>
      <c r="V25" s="364"/>
      <c r="W25" s="363">
        <f t="shared" ref="W25" si="54">450-(450*W63)</f>
        <v>414</v>
      </c>
      <c r="X25" s="364"/>
      <c r="Y25" s="363">
        <f t="shared" ref="Y25" si="55">450-(450*Y63)</f>
        <v>414</v>
      </c>
      <c r="Z25" s="364"/>
      <c r="AA25" s="363">
        <f t="shared" ref="AA25" si="56">450-(450*AA63)</f>
        <v>414</v>
      </c>
      <c r="AB25" s="364"/>
    </row>
    <row r="26" spans="1:28" ht="31.5" customHeight="1" x14ac:dyDescent="0.2">
      <c r="A26" s="332" t="s">
        <v>146</v>
      </c>
      <c r="B26" s="333"/>
      <c r="C26" s="204"/>
      <c r="D26" s="205"/>
      <c r="E26" s="207"/>
      <c r="F26" s="208"/>
      <c r="G26" s="204"/>
      <c r="H26" s="205"/>
      <c r="I26" s="207"/>
      <c r="J26" s="208"/>
      <c r="K26" s="204"/>
      <c r="L26" s="205"/>
      <c r="M26" s="204"/>
      <c r="N26" s="205"/>
      <c r="O26" s="204"/>
      <c r="P26" s="205"/>
      <c r="Q26" s="204"/>
      <c r="R26" s="205"/>
      <c r="S26" s="204"/>
      <c r="T26" s="205"/>
      <c r="U26" s="335">
        <f>K25</f>
        <v>414</v>
      </c>
      <c r="V26" s="336"/>
      <c r="W26" s="335">
        <f>K25+M25</f>
        <v>828</v>
      </c>
      <c r="X26" s="336"/>
      <c r="Y26" s="335">
        <f>K25+M25+O25</f>
        <v>1242</v>
      </c>
      <c r="Z26" s="336"/>
      <c r="AA26" s="335">
        <f>K25+M25+O25+Q25</f>
        <v>1656</v>
      </c>
      <c r="AB26" s="336"/>
    </row>
    <row r="27" spans="1:28" ht="35.25" customHeight="1" x14ac:dyDescent="0.2">
      <c r="A27" s="334" t="s">
        <v>142</v>
      </c>
      <c r="B27" s="333"/>
      <c r="C27" s="337">
        <f>IF(C24&lt;&gt;0,6276/3,0)</f>
        <v>0</v>
      </c>
      <c r="D27" s="338"/>
      <c r="E27" s="431">
        <f>IF(E24&lt;&gt;0,6276/3,0)</f>
        <v>0</v>
      </c>
      <c r="F27" s="432"/>
      <c r="G27" s="337">
        <f>IF(G24&lt;&gt;0,6276/3,0)</f>
        <v>0</v>
      </c>
      <c r="H27" s="338"/>
      <c r="I27" s="431">
        <f>IF(I24&lt;&gt;0,6276/3,0)</f>
        <v>0</v>
      </c>
      <c r="J27" s="432"/>
      <c r="K27" s="337">
        <f>IF(I27&lt;&gt;0,(6276-450)/3,0)</f>
        <v>0</v>
      </c>
      <c r="L27" s="338"/>
      <c r="M27" s="337">
        <f t="shared" ref="M27" si="57">IF(K27&lt;&gt;0,(6276-450)/3,0)</f>
        <v>0</v>
      </c>
      <c r="N27" s="338"/>
      <c r="O27" s="337">
        <f t="shared" ref="O27" si="58">IF(M27&lt;&gt;0,(6276-450)/3,0)</f>
        <v>0</v>
      </c>
      <c r="P27" s="338"/>
      <c r="Q27" s="337">
        <f t="shared" ref="Q27" si="59">IF(O27&lt;&gt;0,(6276-450)/3,0)</f>
        <v>0</v>
      </c>
      <c r="R27" s="338"/>
      <c r="S27" s="337">
        <f t="shared" ref="S27" si="60">IF(Q27&lt;&gt;0,(6276-450)/3,0)</f>
        <v>0</v>
      </c>
      <c r="T27" s="338"/>
      <c r="U27" s="337">
        <f t="shared" ref="U27" si="61">IF(S27&lt;&gt;0,(6276-450)/3,0)</f>
        <v>0</v>
      </c>
      <c r="V27" s="338"/>
      <c r="W27" s="337">
        <f t="shared" ref="W27" si="62">IF(U27&lt;&gt;0,(6276-450)/3,0)</f>
        <v>0</v>
      </c>
      <c r="X27" s="338"/>
      <c r="Y27" s="337">
        <f t="shared" ref="Y27" si="63">IF(W27&lt;&gt;0,(6276-450)/3,0)</f>
        <v>0</v>
      </c>
      <c r="Z27" s="338"/>
      <c r="AA27" s="337">
        <f t="shared" ref="AA27" si="64">IF(Y27&lt;&gt;0,(6276-450)/3,0)</f>
        <v>0</v>
      </c>
      <c r="AB27" s="338"/>
    </row>
    <row r="28" spans="1:28" ht="28.5" hidden="1" customHeight="1" x14ac:dyDescent="0.2">
      <c r="A28" s="137" t="s">
        <v>132</v>
      </c>
      <c r="B28" s="138"/>
      <c r="C28" s="411" t="e">
        <f>('Rappel du dispositif'!C9:D9-'Rappel du dispositif'!C8:D8)/('ESTIMATION PERSONNELL'!C8-(C8*22%))</f>
        <v>#DIV/0!</v>
      </c>
      <c r="D28" s="412"/>
      <c r="E28" s="413" t="e">
        <f>C28</f>
        <v>#DIV/0!</v>
      </c>
      <c r="F28" s="414"/>
      <c r="G28" s="413" t="e">
        <f t="shared" ref="G28" si="65">E28</f>
        <v>#DIV/0!</v>
      </c>
      <c r="H28" s="414"/>
      <c r="I28" s="413" t="e">
        <f t="shared" ref="I28" si="66">G28</f>
        <v>#DIV/0!</v>
      </c>
      <c r="J28" s="414"/>
      <c r="K28" s="413" t="e">
        <f t="shared" ref="K28" si="67">I28</f>
        <v>#DIV/0!</v>
      </c>
      <c r="L28" s="414"/>
      <c r="M28" s="110"/>
      <c r="N28" s="107"/>
      <c r="O28" s="106"/>
      <c r="P28" s="107"/>
      <c r="Q28" s="106"/>
      <c r="R28" s="107"/>
      <c r="S28" s="106"/>
      <c r="T28" s="107"/>
      <c r="U28" s="106"/>
      <c r="V28" s="107"/>
      <c r="W28" s="106"/>
      <c r="X28" s="107"/>
      <c r="Y28" s="106"/>
      <c r="Z28" s="107"/>
      <c r="AA28" s="106"/>
      <c r="AB28" s="107"/>
    </row>
    <row r="29" spans="1:28" ht="35.25" customHeight="1" x14ac:dyDescent="0.2">
      <c r="A29" s="487" t="s">
        <v>163</v>
      </c>
      <c r="B29" s="488"/>
      <c r="C29" s="489" t="e">
        <f>IF(C28&gt;3.5%,3%,IF(C28&gt;2.5%,1.5%,1%))</f>
        <v>#DIV/0!</v>
      </c>
      <c r="D29" s="490"/>
      <c r="E29" s="489" t="e">
        <f t="shared" ref="E29" si="68">IF(E28&gt;3.5%,3%,IF(E28&gt;2.5%,1.5%,1%))</f>
        <v>#DIV/0!</v>
      </c>
      <c r="F29" s="490"/>
      <c r="G29" s="489" t="e">
        <f t="shared" ref="G29" si="69">IF(G28&gt;3.5%,3%,IF(G28&gt;2.5%,1.5%,1%))</f>
        <v>#DIV/0!</v>
      </c>
      <c r="H29" s="490"/>
      <c r="I29" s="489" t="e">
        <f t="shared" ref="I29" si="70">IF(I28&gt;3.5%,3%,IF(I28&gt;2.5%,1.5%,1%))</f>
        <v>#DIV/0!</v>
      </c>
      <c r="J29" s="490"/>
      <c r="K29" s="489" t="e">
        <f t="shared" ref="K29:AA29" si="71">IF(K28&gt;3.5%,3%,IF(K28&gt;2.5%,1.5%,1%))</f>
        <v>#DIV/0!</v>
      </c>
      <c r="L29" s="490"/>
      <c r="M29" s="489">
        <f t="shared" si="71"/>
        <v>0.01</v>
      </c>
      <c r="N29" s="490"/>
      <c r="O29" s="489">
        <f t="shared" si="71"/>
        <v>0.01</v>
      </c>
      <c r="P29" s="490"/>
      <c r="Q29" s="489">
        <f t="shared" si="71"/>
        <v>0.01</v>
      </c>
      <c r="R29" s="490"/>
      <c r="S29" s="489">
        <f t="shared" si="71"/>
        <v>0.01</v>
      </c>
      <c r="T29" s="490"/>
      <c r="U29" s="489">
        <f t="shared" si="71"/>
        <v>0.01</v>
      </c>
      <c r="V29" s="490"/>
      <c r="W29" s="489">
        <f t="shared" si="71"/>
        <v>0.01</v>
      </c>
      <c r="X29" s="490"/>
      <c r="Y29" s="489">
        <f t="shared" si="71"/>
        <v>0.01</v>
      </c>
      <c r="Z29" s="490"/>
      <c r="AA29" s="489">
        <f t="shared" si="71"/>
        <v>0.01</v>
      </c>
      <c r="AB29" s="490"/>
    </row>
    <row r="30" spans="1:28" ht="31.5" hidden="1" customHeight="1" x14ac:dyDescent="0.2">
      <c r="A30" s="447" t="s">
        <v>158</v>
      </c>
      <c r="B30" s="448"/>
      <c r="C30" s="486" t="e">
        <f>(($C$8-($C$8*22%))*C29)</f>
        <v>#DIV/0!</v>
      </c>
      <c r="D30" s="486"/>
      <c r="E30" s="486" t="e">
        <f t="shared" ref="E30" si="72">(($C$8-($C$8*22%))*E29)</f>
        <v>#DIV/0!</v>
      </c>
      <c r="F30" s="486"/>
      <c r="G30" s="486" t="e">
        <f t="shared" ref="G30" si="73">(($C$8-($C$8*22%))*G29)</f>
        <v>#DIV/0!</v>
      </c>
      <c r="H30" s="486"/>
      <c r="I30" s="486" t="e">
        <f t="shared" ref="I30" si="74">(($C$8-($C$8*22%))*I29)</f>
        <v>#DIV/0!</v>
      </c>
      <c r="J30" s="486"/>
      <c r="K30" s="486" t="e">
        <f t="shared" ref="K30" si="75">(($C$8-($C$8*22%))*K29)</f>
        <v>#DIV/0!</v>
      </c>
      <c r="L30" s="486"/>
      <c r="M30" s="486">
        <f t="shared" ref="M30" si="76">(($C$8-($C$8*22%))*M29)</f>
        <v>0</v>
      </c>
      <c r="N30" s="486"/>
      <c r="O30" s="486">
        <f t="shared" ref="O30" si="77">(($C$8-($C$8*22%))*O29)</f>
        <v>0</v>
      </c>
      <c r="P30" s="486"/>
      <c r="Q30" s="486">
        <f t="shared" ref="Q30" si="78">(($C$8-($C$8*22%))*Q29)</f>
        <v>0</v>
      </c>
      <c r="R30" s="486"/>
      <c r="S30" s="486">
        <f t="shared" ref="S30" si="79">(($C$8-($C$8*22%))*S29)</f>
        <v>0</v>
      </c>
      <c r="T30" s="486"/>
      <c r="U30" s="486">
        <f t="shared" ref="U30" si="80">(($C$8-($C$8*22%))*U29)</f>
        <v>0</v>
      </c>
      <c r="V30" s="486"/>
      <c r="W30" s="486">
        <f t="shared" ref="W30" si="81">(($C$8-($C$8*22%))*W29)</f>
        <v>0</v>
      </c>
      <c r="X30" s="486"/>
      <c r="Y30" s="486">
        <f t="shared" ref="Y30" si="82">(($C$8-($C$8*22%))*Y29)</f>
        <v>0</v>
      </c>
      <c r="Z30" s="486"/>
      <c r="AA30" s="486">
        <f t="shared" ref="AA30" si="83">(($C$8-($C$8*22%))*AA29)</f>
        <v>0</v>
      </c>
      <c r="AB30" s="486"/>
    </row>
    <row r="31" spans="1:28" ht="27" customHeight="1" x14ac:dyDescent="0.2">
      <c r="A31" s="68" t="s">
        <v>96</v>
      </c>
      <c r="B31" s="42"/>
      <c r="C31" s="403">
        <f>IF(C24=0,0,IF($L$4="",(1250-(1250*C62)),(1250-(1250*C65))))</f>
        <v>0</v>
      </c>
      <c r="D31" s="404"/>
      <c r="E31" s="403">
        <f t="shared" ref="E31" si="84">IF(E24=0,0,IF($L$4="",(1250-(1250*E62)),(1250-(1250*E65))))</f>
        <v>0</v>
      </c>
      <c r="F31" s="404"/>
      <c r="G31" s="403">
        <f t="shared" ref="G31" si="85">IF(G24=0,0,IF($L$4="",(1250-(1250*G62)),(1250-(1250*G65))))</f>
        <v>0</v>
      </c>
      <c r="H31" s="404"/>
      <c r="I31" s="403">
        <f t="shared" ref="I31" si="86">IF(I24=0,0,IF($L$4="",(1250-(1250*I62)),(1250-(1250*I65))))</f>
        <v>0</v>
      </c>
      <c r="J31" s="404"/>
      <c r="K31" s="354">
        <v>0</v>
      </c>
      <c r="L31" s="355"/>
      <c r="M31" s="354">
        <v>0</v>
      </c>
      <c r="N31" s="355"/>
      <c r="O31" s="354">
        <v>0</v>
      </c>
      <c r="P31" s="355"/>
      <c r="Q31" s="354">
        <v>0</v>
      </c>
      <c r="R31" s="355"/>
      <c r="S31" s="354">
        <v>0</v>
      </c>
      <c r="T31" s="355"/>
      <c r="U31" s="354">
        <v>0</v>
      </c>
      <c r="V31" s="355"/>
      <c r="W31" s="354">
        <v>0</v>
      </c>
      <c r="X31" s="355"/>
      <c r="Y31" s="354">
        <v>0</v>
      </c>
      <c r="Z31" s="355"/>
      <c r="AA31" s="354">
        <v>0</v>
      </c>
      <c r="AB31" s="355"/>
    </row>
    <row r="32" spans="1:28" ht="30.75" customHeight="1" x14ac:dyDescent="0.2">
      <c r="A32" s="68" t="s">
        <v>103</v>
      </c>
      <c r="B32" s="42"/>
      <c r="C32" s="403">
        <f>IF($G$7="",0,IF($L$4="",(500-(500*C62)),(500-(500*C65))))</f>
        <v>0</v>
      </c>
      <c r="D32" s="404"/>
      <c r="E32" s="403">
        <f t="shared" ref="E32" si="87">IF($G$7="",0,IF($L$4="",(500-(500*E62)),(500-(500*E65))))</f>
        <v>0</v>
      </c>
      <c r="F32" s="404"/>
      <c r="G32" s="403">
        <f t="shared" ref="G32" si="88">IF($G$7="",0,IF($L$4="",(500-(500*G62)),(500-(500*G65))))</f>
        <v>0</v>
      </c>
      <c r="H32" s="404"/>
      <c r="I32" s="403">
        <f t="shared" ref="I32" si="89">IF($G$7="",0,IF($L$4="",(500-(500*I62)),(500-(500*I65))))</f>
        <v>0</v>
      </c>
      <c r="J32" s="404"/>
      <c r="K32" s="354">
        <f>IF('Détail du calcul'!K37:L37=0,0,500)</f>
        <v>0</v>
      </c>
      <c r="L32" s="355"/>
      <c r="M32" s="354">
        <f>IF('Détail du calcul'!M37:N37=0,0,500)</f>
        <v>0</v>
      </c>
      <c r="N32" s="355"/>
      <c r="O32" s="354">
        <f>IF('Détail du calcul'!O37:P37=0,0,500)</f>
        <v>0</v>
      </c>
      <c r="P32" s="355"/>
      <c r="Q32" s="354">
        <f>IF('Détail du calcul'!Q37:R37=0,0,500)</f>
        <v>0</v>
      </c>
      <c r="R32" s="355"/>
      <c r="S32" s="354">
        <f>IF('Détail du calcul'!S37:T37=0,0,500)</f>
        <v>0</v>
      </c>
      <c r="T32" s="355"/>
      <c r="U32" s="354">
        <f>IF('Détail du calcul'!U37:V37=0,0,500)</f>
        <v>0</v>
      </c>
      <c r="V32" s="355"/>
      <c r="W32" s="354">
        <f>IF('Détail du calcul'!W37:X37=0,0,500)</f>
        <v>0</v>
      </c>
      <c r="X32" s="355"/>
      <c r="Y32" s="354">
        <f>IF('Détail du calcul'!Y37:Z37=0,0,500)</f>
        <v>0</v>
      </c>
      <c r="Z32" s="355"/>
      <c r="AA32" s="354">
        <f>IF('Détail du calcul'!AA37:AB37=0,0,500)</f>
        <v>0</v>
      </c>
      <c r="AB32" s="355"/>
    </row>
    <row r="33" spans="1:28" ht="35.25" customHeight="1" x14ac:dyDescent="0.2">
      <c r="A33" s="111" t="s">
        <v>144</v>
      </c>
      <c r="B33" s="112"/>
      <c r="C33" s="405">
        <f>(C31+C32)</f>
        <v>0</v>
      </c>
      <c r="D33" s="406"/>
      <c r="E33" s="415">
        <f>(E31+E32)+C33</f>
        <v>0</v>
      </c>
      <c r="F33" s="416"/>
      <c r="G33" s="405">
        <f>(G31+G32)+E33</f>
        <v>0</v>
      </c>
      <c r="H33" s="406"/>
      <c r="I33" s="415">
        <f>(I31+I32)+G33</f>
        <v>0</v>
      </c>
      <c r="J33" s="416"/>
      <c r="K33" s="356">
        <f>C31+C32+E31+E32+G31+G32+I31+I32+K31+K32</f>
        <v>0</v>
      </c>
      <c r="L33" s="357"/>
      <c r="M33" s="356">
        <f t="shared" ref="M33" si="90">E31+E32+G31+G32+I31+I32+K31+K32+M31+M32</f>
        <v>0</v>
      </c>
      <c r="N33" s="357"/>
      <c r="O33" s="356">
        <f t="shared" ref="O33" si="91">G31+G32+I31+I32+K31+K32+M31+M32+O31+O32</f>
        <v>0</v>
      </c>
      <c r="P33" s="357"/>
      <c r="Q33" s="356">
        <f t="shared" ref="Q33" si="92">I31+I32+K31+K32+M31+M32+O31+O32+Q31+Q32</f>
        <v>0</v>
      </c>
      <c r="R33" s="357"/>
      <c r="S33" s="356">
        <f t="shared" ref="S33" si="93">K31+K32+M31+M32+O31+O32+Q31+Q32+S31+S32</f>
        <v>0</v>
      </c>
      <c r="T33" s="357"/>
      <c r="U33" s="356">
        <f t="shared" ref="U33" si="94">U31+U32+S31+S32+Q31+Q32+O31+O32+M31+M32</f>
        <v>0</v>
      </c>
      <c r="V33" s="357"/>
      <c r="W33" s="356">
        <f t="shared" ref="W33" si="95">W31+W32+U31+U32+S31+S32+Q31+Q32+O31+O32</f>
        <v>0</v>
      </c>
      <c r="X33" s="357"/>
      <c r="Y33" s="356">
        <f t="shared" ref="Y33" si="96">Y31+Y32+W31+W32+U31+U32+S31+S32+Q31+Q32</f>
        <v>0</v>
      </c>
      <c r="Z33" s="357"/>
      <c r="AA33" s="356">
        <f t="shared" ref="AA33" si="97">AA31+AA32+Y31+Y32+W31+W32+U31+U32+S31+S32</f>
        <v>0</v>
      </c>
      <c r="AB33" s="357"/>
    </row>
    <row r="34" spans="1:28" ht="35.25" customHeight="1" x14ac:dyDescent="0.2">
      <c r="A34" s="101" t="s">
        <v>18</v>
      </c>
      <c r="B34" s="102"/>
      <c r="C34" s="350">
        <f>C21+C24+C33</f>
        <v>0</v>
      </c>
      <c r="D34" s="351"/>
      <c r="E34" s="350">
        <f t="shared" ref="E34" si="98">E21+E24+E33</f>
        <v>0</v>
      </c>
      <c r="F34" s="351"/>
      <c r="G34" s="350">
        <f t="shared" ref="G34" si="99">G21+G24+G33</f>
        <v>0</v>
      </c>
      <c r="H34" s="351"/>
      <c r="I34" s="350">
        <f t="shared" ref="I34" si="100">I21+I24+I33</f>
        <v>0</v>
      </c>
      <c r="J34" s="351"/>
      <c r="K34" s="350">
        <f t="shared" ref="K34" si="101">K21+K24+K33</f>
        <v>0</v>
      </c>
      <c r="L34" s="351"/>
      <c r="M34" s="350">
        <f t="shared" ref="M34" si="102">M21+M24+M33</f>
        <v>0</v>
      </c>
      <c r="N34" s="351"/>
      <c r="O34" s="350">
        <f t="shared" ref="O34" si="103">O21+O24+O33</f>
        <v>0</v>
      </c>
      <c r="P34" s="351"/>
      <c r="Q34" s="350">
        <f t="shared" ref="Q34" si="104">Q21+Q24+Q33</f>
        <v>0</v>
      </c>
      <c r="R34" s="351"/>
      <c r="S34" s="350">
        <f t="shared" ref="S34" si="105">S21+S24+S33</f>
        <v>0</v>
      </c>
      <c r="T34" s="351"/>
      <c r="U34" s="350">
        <f>U21+U24+U33+U26</f>
        <v>414</v>
      </c>
      <c r="V34" s="351"/>
      <c r="W34" s="350">
        <f t="shared" ref="W34" si="106">W21+W24+W33+W26</f>
        <v>828</v>
      </c>
      <c r="X34" s="351"/>
      <c r="Y34" s="350">
        <f t="shared" ref="Y34" si="107">Y21+Y24+Y33+Y26</f>
        <v>1242</v>
      </c>
      <c r="Z34" s="351"/>
      <c r="AA34" s="350">
        <f t="shared" ref="AA34" si="108">AA21+AA24+AA33+AA26</f>
        <v>1656</v>
      </c>
      <c r="AB34" s="351"/>
    </row>
    <row r="35" spans="1:28" ht="35.25" customHeight="1" x14ac:dyDescent="0.2">
      <c r="A35" s="136" t="s">
        <v>19</v>
      </c>
      <c r="B35" s="123"/>
      <c r="C35" s="352">
        <f>C34-C20</f>
        <v>0</v>
      </c>
      <c r="D35" s="353"/>
      <c r="E35" s="352">
        <f>E34-E20</f>
        <v>0</v>
      </c>
      <c r="F35" s="353"/>
      <c r="G35" s="352">
        <f>G34-G20</f>
        <v>0</v>
      </c>
      <c r="H35" s="353"/>
      <c r="I35" s="352">
        <f>I34-I20</f>
        <v>0</v>
      </c>
      <c r="J35" s="353"/>
      <c r="K35" s="352">
        <f>K34-K20</f>
        <v>0</v>
      </c>
      <c r="L35" s="353"/>
      <c r="M35" s="352">
        <f t="shared" ref="M35" si="109">M34-M20</f>
        <v>0</v>
      </c>
      <c r="N35" s="353"/>
      <c r="O35" s="352">
        <f t="shared" ref="O35" si="110">O34-O20</f>
        <v>0</v>
      </c>
      <c r="P35" s="353"/>
      <c r="Q35" s="352">
        <f t="shared" ref="Q35" si="111">Q34-Q20</f>
        <v>0</v>
      </c>
      <c r="R35" s="353"/>
      <c r="S35" s="352">
        <f t="shared" ref="S35" si="112">S34-S20</f>
        <v>0</v>
      </c>
      <c r="T35" s="353"/>
      <c r="U35" s="352">
        <f t="shared" ref="U35" si="113">U34-U20</f>
        <v>414</v>
      </c>
      <c r="V35" s="353"/>
      <c r="W35" s="352">
        <f t="shared" ref="W35" si="114">W34-W20</f>
        <v>828</v>
      </c>
      <c r="X35" s="353"/>
      <c r="Y35" s="352">
        <f t="shared" ref="Y35" si="115">Y34-Y20</f>
        <v>1242</v>
      </c>
      <c r="Z35" s="353"/>
      <c r="AA35" s="352">
        <f t="shared" ref="AA35" si="116">AA34-AA20</f>
        <v>1656</v>
      </c>
      <c r="AB35" s="353"/>
    </row>
    <row r="36" spans="1:28" ht="35.25" customHeight="1" x14ac:dyDescent="0.2">
      <c r="A36" s="136" t="s">
        <v>115</v>
      </c>
      <c r="B36" s="124"/>
      <c r="C36" s="348" t="e">
        <f>C34/C20</f>
        <v>#DIV/0!</v>
      </c>
      <c r="D36" s="349"/>
      <c r="E36" s="348" t="e">
        <f>E34/E20</f>
        <v>#DIV/0!</v>
      </c>
      <c r="F36" s="349"/>
      <c r="G36" s="348" t="e">
        <f>G34/G20</f>
        <v>#DIV/0!</v>
      </c>
      <c r="H36" s="349"/>
      <c r="I36" s="348" t="e">
        <f>I34/I20</f>
        <v>#DIV/0!</v>
      </c>
      <c r="J36" s="349"/>
      <c r="K36" s="348" t="e">
        <f>K34/K20</f>
        <v>#DIV/0!</v>
      </c>
      <c r="L36" s="349"/>
      <c r="M36" s="348" t="e">
        <f t="shared" ref="M36" si="117">M34/M20</f>
        <v>#DIV/0!</v>
      </c>
      <c r="N36" s="349"/>
      <c r="O36" s="348" t="e">
        <f t="shared" ref="O36" si="118">O34/O20</f>
        <v>#DIV/0!</v>
      </c>
      <c r="P36" s="349"/>
      <c r="Q36" s="348" t="e">
        <f t="shared" ref="Q36" si="119">Q34/Q20</f>
        <v>#DIV/0!</v>
      </c>
      <c r="R36" s="349"/>
      <c r="S36" s="348" t="e">
        <f t="shared" ref="S36" si="120">S34/S20</f>
        <v>#DIV/0!</v>
      </c>
      <c r="T36" s="349"/>
      <c r="U36" s="348" t="e">
        <f t="shared" ref="U36" si="121">U34/U20</f>
        <v>#DIV/0!</v>
      </c>
      <c r="V36" s="349"/>
      <c r="W36" s="348" t="e">
        <f t="shared" ref="W36" si="122">W34/W20</f>
        <v>#DIV/0!</v>
      </c>
      <c r="X36" s="349"/>
      <c r="Y36" s="348" t="e">
        <f t="shared" ref="Y36" si="123">Y34/Y20</f>
        <v>#DIV/0!</v>
      </c>
      <c r="Z36" s="349"/>
      <c r="AA36" s="348" t="e">
        <f t="shared" ref="AA36" si="124">AA34/AA20</f>
        <v>#DIV/0!</v>
      </c>
      <c r="AB36" s="349"/>
    </row>
    <row r="37" spans="1:28" ht="9.75" customHeight="1" x14ac:dyDescent="0.2">
      <c r="A37" s="134"/>
      <c r="B37" s="135"/>
      <c r="C37" s="200"/>
      <c r="D37" s="201"/>
      <c r="E37" s="200"/>
      <c r="F37" s="201"/>
      <c r="G37" s="200"/>
      <c r="H37" s="201"/>
      <c r="I37" s="200"/>
      <c r="J37" s="201"/>
      <c r="K37" s="200"/>
      <c r="L37" s="201"/>
      <c r="M37" s="106"/>
      <c r="N37" s="107"/>
      <c r="O37" s="106"/>
      <c r="P37" s="107"/>
      <c r="Q37" s="106"/>
      <c r="R37" s="107"/>
      <c r="S37" s="106"/>
      <c r="T37" s="107"/>
      <c r="U37" s="106"/>
      <c r="V37" s="107"/>
      <c r="W37" s="106"/>
      <c r="X37" s="107"/>
      <c r="Y37" s="106"/>
      <c r="Z37" s="107"/>
      <c r="AA37" s="106"/>
      <c r="AB37" s="107"/>
    </row>
    <row r="38" spans="1:28" ht="39" customHeight="1" x14ac:dyDescent="0.2">
      <c r="A38" s="132" t="s">
        <v>116</v>
      </c>
      <c r="B38" s="133"/>
      <c r="C38" s="335">
        <f>IF($G$8="",0,IF($C$7&gt;=40,20,IF($C$7&gt;=30,15,IF($C$7&gt;=20,10,IF($C$7&gt;=15,5,0)))))</f>
        <v>0</v>
      </c>
      <c r="D38" s="336"/>
      <c r="E38" s="335">
        <f>C38</f>
        <v>0</v>
      </c>
      <c r="F38" s="336"/>
      <c r="G38" s="335">
        <f>E38</f>
        <v>0</v>
      </c>
      <c r="H38" s="336"/>
      <c r="I38" s="335">
        <f>G38</f>
        <v>0</v>
      </c>
      <c r="J38" s="336"/>
      <c r="K38" s="335">
        <v>0</v>
      </c>
      <c r="L38" s="336"/>
      <c r="M38" s="335">
        <v>0</v>
      </c>
      <c r="N38" s="336"/>
      <c r="O38" s="335">
        <v>0</v>
      </c>
      <c r="P38" s="336"/>
      <c r="Q38" s="335">
        <v>0</v>
      </c>
      <c r="R38" s="336"/>
      <c r="S38" s="335">
        <v>0</v>
      </c>
      <c r="T38" s="336"/>
      <c r="U38" s="335">
        <v>0</v>
      </c>
      <c r="V38" s="336"/>
      <c r="W38" s="335">
        <v>0</v>
      </c>
      <c r="X38" s="336"/>
      <c r="Y38" s="335">
        <v>0</v>
      </c>
      <c r="Z38" s="336"/>
      <c r="AA38" s="335">
        <v>0</v>
      </c>
      <c r="AB38" s="336"/>
    </row>
    <row r="39" spans="1:28" ht="35.25" hidden="1" customHeight="1" x14ac:dyDescent="0.2">
      <c r="M39" s="110"/>
      <c r="N39" s="110"/>
      <c r="O39" s="110"/>
      <c r="P39" s="110"/>
      <c r="Q39" s="110"/>
      <c r="R39" s="110"/>
      <c r="S39" s="110"/>
      <c r="T39" s="110"/>
      <c r="U39" s="110"/>
      <c r="V39" s="110"/>
      <c r="W39" s="110"/>
      <c r="X39" s="110"/>
      <c r="Y39" s="110"/>
      <c r="Z39" s="110"/>
      <c r="AA39" s="110"/>
      <c r="AB39" s="110"/>
    </row>
    <row r="40" spans="1:28" ht="16.5" hidden="1" customHeight="1" x14ac:dyDescent="0.2">
      <c r="A40" s="63" t="s">
        <v>61</v>
      </c>
      <c r="B40" s="11"/>
      <c r="C40" s="1"/>
      <c r="D40" s="1"/>
      <c r="M40" s="110"/>
      <c r="N40" s="110"/>
      <c r="O40" s="110"/>
      <c r="P40" s="110"/>
      <c r="Q40" s="110"/>
      <c r="R40" s="110"/>
      <c r="S40" s="110"/>
      <c r="T40" s="110"/>
      <c r="U40" s="110"/>
      <c r="V40" s="110"/>
      <c r="W40" s="110"/>
      <c r="X40" s="110"/>
      <c r="Y40" s="110"/>
      <c r="Z40" s="110"/>
      <c r="AA40" s="110"/>
      <c r="AB40" s="110"/>
    </row>
    <row r="41" spans="1:28" ht="16.5" hidden="1" customHeight="1" x14ac:dyDescent="0.2">
      <c r="A41" s="82" t="s">
        <v>54</v>
      </c>
      <c r="B41" s="83"/>
      <c r="C41" s="346">
        <v>2018</v>
      </c>
      <c r="D41" s="407"/>
      <c r="E41" s="346">
        <v>2019</v>
      </c>
      <c r="F41" s="407"/>
      <c r="G41" s="346">
        <v>2020</v>
      </c>
      <c r="H41" s="407"/>
      <c r="I41" s="346">
        <v>2021</v>
      </c>
      <c r="J41" s="407"/>
      <c r="K41" s="346">
        <v>2022</v>
      </c>
      <c r="L41" s="410"/>
      <c r="M41" s="346">
        <v>2023</v>
      </c>
      <c r="N41" s="347"/>
      <c r="O41" s="346">
        <v>2024</v>
      </c>
      <c r="P41" s="347"/>
      <c r="Q41" s="346">
        <v>2025</v>
      </c>
      <c r="R41" s="347"/>
      <c r="S41" s="346">
        <v>2026</v>
      </c>
      <c r="T41" s="347"/>
      <c r="U41" s="346">
        <v>2027</v>
      </c>
      <c r="V41" s="347"/>
      <c r="W41" s="346">
        <v>2028</v>
      </c>
      <c r="X41" s="347"/>
      <c r="Y41" s="346">
        <v>2029</v>
      </c>
      <c r="Z41" s="347"/>
      <c r="AA41" s="346">
        <v>2030</v>
      </c>
      <c r="AB41" s="347"/>
    </row>
    <row r="42" spans="1:28" ht="16.5" hidden="1" customHeight="1" x14ac:dyDescent="0.2">
      <c r="A42" s="99" t="s">
        <v>85</v>
      </c>
      <c r="B42" s="100"/>
      <c r="C42" s="328">
        <v>0.7</v>
      </c>
      <c r="D42" s="329"/>
      <c r="E42" s="328">
        <v>0.6</v>
      </c>
      <c r="F42" s="329"/>
      <c r="G42" s="328">
        <v>0.5</v>
      </c>
      <c r="H42" s="329"/>
      <c r="I42" s="328">
        <v>0.4</v>
      </c>
      <c r="J42" s="329"/>
      <c r="K42" s="328"/>
      <c r="L42" s="343"/>
      <c r="M42" s="328"/>
      <c r="N42" s="343"/>
      <c r="O42" s="328"/>
      <c r="P42" s="343"/>
      <c r="Q42" s="328"/>
      <c r="R42" s="343"/>
      <c r="S42" s="328"/>
      <c r="T42" s="343"/>
      <c r="U42" s="328"/>
      <c r="V42" s="343"/>
      <c r="W42" s="328"/>
      <c r="X42" s="343"/>
      <c r="Y42" s="328"/>
      <c r="Z42" s="343"/>
      <c r="AA42" s="328"/>
      <c r="AB42" s="329"/>
    </row>
    <row r="43" spans="1:28" ht="16.5" hidden="1" customHeight="1" x14ac:dyDescent="0.2">
      <c r="A43" s="122" t="s">
        <v>86</v>
      </c>
      <c r="B43" s="26"/>
      <c r="C43" s="118"/>
      <c r="D43" s="119"/>
      <c r="E43" s="118"/>
      <c r="F43" s="119"/>
      <c r="G43" s="118"/>
      <c r="H43" s="119"/>
      <c r="I43" s="118"/>
      <c r="J43" s="120"/>
      <c r="K43" s="330" t="s">
        <v>90</v>
      </c>
      <c r="L43" s="344"/>
      <c r="M43" s="330" t="s">
        <v>90</v>
      </c>
      <c r="N43" s="344"/>
      <c r="O43" s="330" t="s">
        <v>90</v>
      </c>
      <c r="P43" s="344"/>
      <c r="Q43" s="330" t="s">
        <v>90</v>
      </c>
      <c r="R43" s="344"/>
      <c r="S43" s="330" t="s">
        <v>90</v>
      </c>
      <c r="T43" s="344"/>
      <c r="U43" s="330" t="s">
        <v>90</v>
      </c>
      <c r="V43" s="344"/>
      <c r="W43" s="330" t="s">
        <v>90</v>
      </c>
      <c r="X43" s="344"/>
      <c r="Y43" s="330" t="s">
        <v>90</v>
      </c>
      <c r="Z43" s="344"/>
      <c r="AA43" s="330" t="s">
        <v>90</v>
      </c>
      <c r="AB43" s="331"/>
    </row>
    <row r="44" spans="1:28" ht="16.5" hidden="1" customHeight="1" x14ac:dyDescent="0.2">
      <c r="A44" s="122" t="s">
        <v>87</v>
      </c>
      <c r="B44" s="26"/>
      <c r="C44" s="118"/>
      <c r="D44" s="119"/>
      <c r="E44" s="118"/>
      <c r="F44" s="119"/>
      <c r="G44" s="118"/>
      <c r="H44" s="119"/>
      <c r="I44" s="118"/>
      <c r="J44" s="120"/>
      <c r="K44" s="330" t="s">
        <v>91</v>
      </c>
      <c r="L44" s="344"/>
      <c r="M44" s="330" t="s">
        <v>91</v>
      </c>
      <c r="N44" s="344"/>
      <c r="O44" s="330" t="s">
        <v>91</v>
      </c>
      <c r="P44" s="344"/>
      <c r="Q44" s="330" t="s">
        <v>91</v>
      </c>
      <c r="R44" s="344"/>
      <c r="S44" s="330" t="s">
        <v>91</v>
      </c>
      <c r="T44" s="344"/>
      <c r="U44" s="330" t="s">
        <v>91</v>
      </c>
      <c r="V44" s="344"/>
      <c r="W44" s="330" t="s">
        <v>91</v>
      </c>
      <c r="X44" s="344"/>
      <c r="Y44" s="330" t="s">
        <v>91</v>
      </c>
      <c r="Z44" s="344"/>
      <c r="AA44" s="330" t="s">
        <v>91</v>
      </c>
      <c r="AB44" s="331"/>
    </row>
    <row r="45" spans="1:28" ht="16.5" hidden="1" customHeight="1" x14ac:dyDescent="0.2">
      <c r="A45" s="122" t="s">
        <v>88</v>
      </c>
      <c r="B45" s="26"/>
      <c r="C45" s="118"/>
      <c r="D45" s="119"/>
      <c r="E45" s="118"/>
      <c r="F45" s="119"/>
      <c r="G45" s="118"/>
      <c r="H45" s="119"/>
      <c r="I45" s="118"/>
      <c r="J45" s="120"/>
      <c r="K45" s="330" t="s">
        <v>92</v>
      </c>
      <c r="L45" s="344"/>
      <c r="M45" s="330" t="s">
        <v>92</v>
      </c>
      <c r="N45" s="344"/>
      <c r="O45" s="330" t="s">
        <v>92</v>
      </c>
      <c r="P45" s="344"/>
      <c r="Q45" s="330" t="s">
        <v>92</v>
      </c>
      <c r="R45" s="344"/>
      <c r="S45" s="330" t="s">
        <v>92</v>
      </c>
      <c r="T45" s="344"/>
      <c r="U45" s="330" t="s">
        <v>92</v>
      </c>
      <c r="V45" s="344"/>
      <c r="W45" s="330" t="s">
        <v>92</v>
      </c>
      <c r="X45" s="344"/>
      <c r="Y45" s="330" t="s">
        <v>92</v>
      </c>
      <c r="Z45" s="344"/>
      <c r="AA45" s="330" t="s">
        <v>92</v>
      </c>
      <c r="AB45" s="331"/>
    </row>
    <row r="46" spans="1:28" ht="16.5" hidden="1" customHeight="1" x14ac:dyDescent="0.2">
      <c r="A46" s="122" t="s">
        <v>89</v>
      </c>
      <c r="B46" s="26"/>
      <c r="C46" s="118"/>
      <c r="D46" s="119"/>
      <c r="E46" s="118"/>
      <c r="F46" s="119"/>
      <c r="G46" s="118"/>
      <c r="H46" s="119"/>
      <c r="I46" s="118"/>
      <c r="J46" s="120"/>
      <c r="K46" s="330" t="s">
        <v>46</v>
      </c>
      <c r="L46" s="344"/>
      <c r="M46" s="330" t="s">
        <v>46</v>
      </c>
      <c r="N46" s="344"/>
      <c r="O46" s="330" t="s">
        <v>46</v>
      </c>
      <c r="P46" s="344"/>
      <c r="Q46" s="330" t="s">
        <v>46</v>
      </c>
      <c r="R46" s="344"/>
      <c r="S46" s="330" t="s">
        <v>46</v>
      </c>
      <c r="T46" s="344"/>
      <c r="U46" s="330" t="s">
        <v>46</v>
      </c>
      <c r="V46" s="344"/>
      <c r="W46" s="330" t="s">
        <v>46</v>
      </c>
      <c r="X46" s="344"/>
      <c r="Y46" s="330" t="s">
        <v>46</v>
      </c>
      <c r="Z46" s="344"/>
      <c r="AA46" s="330" t="s">
        <v>46</v>
      </c>
      <c r="AB46" s="331"/>
    </row>
    <row r="47" spans="1:28" ht="35.25" hidden="1" customHeight="1" x14ac:dyDescent="0.2">
      <c r="A47" s="417" t="s">
        <v>122</v>
      </c>
      <c r="B47" s="418"/>
      <c r="C47" s="339">
        <v>6276</v>
      </c>
      <c r="D47" s="340"/>
      <c r="E47" s="339">
        <v>6276</v>
      </c>
      <c r="F47" s="340"/>
      <c r="G47" s="339">
        <v>6276</v>
      </c>
      <c r="H47" s="340"/>
      <c r="I47" s="339">
        <v>6276</v>
      </c>
      <c r="J47" s="340"/>
      <c r="K47" s="339">
        <v>6276</v>
      </c>
      <c r="L47" s="345"/>
      <c r="M47" s="339">
        <v>6276</v>
      </c>
      <c r="N47" s="345"/>
      <c r="O47" s="339">
        <v>6276</v>
      </c>
      <c r="P47" s="345"/>
      <c r="Q47" s="339">
        <v>6276</v>
      </c>
      <c r="R47" s="345"/>
      <c r="S47" s="339">
        <v>6276</v>
      </c>
      <c r="T47" s="345"/>
      <c r="U47" s="339">
        <v>6276</v>
      </c>
      <c r="V47" s="345"/>
      <c r="W47" s="339">
        <v>6276</v>
      </c>
      <c r="X47" s="345"/>
      <c r="Y47" s="339">
        <v>6276</v>
      </c>
      <c r="Z47" s="345"/>
      <c r="AA47" s="339">
        <v>6276</v>
      </c>
      <c r="AB47" s="340"/>
    </row>
    <row r="48" spans="1:28" ht="27" hidden="1" customHeight="1" x14ac:dyDescent="0.2">
      <c r="A48" s="86" t="s">
        <v>68</v>
      </c>
      <c r="B48" s="26"/>
      <c r="C48" s="339">
        <v>7000</v>
      </c>
      <c r="D48" s="340"/>
      <c r="E48" s="339">
        <v>7000</v>
      </c>
      <c r="F48" s="340"/>
      <c r="G48" s="339">
        <v>7000</v>
      </c>
      <c r="H48" s="340"/>
      <c r="I48" s="339">
        <v>7000</v>
      </c>
      <c r="J48" s="340"/>
      <c r="K48" s="339">
        <v>7000</v>
      </c>
      <c r="L48" s="345"/>
      <c r="M48" s="339">
        <v>7000</v>
      </c>
      <c r="N48" s="345"/>
      <c r="O48" s="339">
        <v>7000</v>
      </c>
      <c r="P48" s="345"/>
      <c r="Q48" s="339">
        <v>7000</v>
      </c>
      <c r="R48" s="345"/>
      <c r="S48" s="339">
        <v>7000</v>
      </c>
      <c r="T48" s="345"/>
      <c r="U48" s="339">
        <v>7000</v>
      </c>
      <c r="V48" s="345"/>
      <c r="W48" s="339">
        <v>7000</v>
      </c>
      <c r="X48" s="345"/>
      <c r="Y48" s="339">
        <v>7000</v>
      </c>
      <c r="Z48" s="345"/>
      <c r="AA48" s="339">
        <v>7000</v>
      </c>
      <c r="AB48" s="340"/>
    </row>
    <row r="49" spans="1:28" ht="23.25" hidden="1" customHeight="1" x14ac:dyDescent="0.2">
      <c r="A49" s="25" t="s">
        <v>67</v>
      </c>
      <c r="B49" s="26"/>
      <c r="C49" s="84"/>
      <c r="D49" s="85"/>
      <c r="E49" s="84"/>
      <c r="F49" s="85"/>
      <c r="G49" s="84"/>
      <c r="H49" s="85"/>
      <c r="I49" s="84"/>
      <c r="J49" s="121"/>
      <c r="K49" s="339">
        <v>450</v>
      </c>
      <c r="L49" s="345"/>
      <c r="M49" s="339">
        <v>450</v>
      </c>
      <c r="N49" s="345"/>
      <c r="O49" s="339">
        <v>450</v>
      </c>
      <c r="P49" s="345"/>
      <c r="Q49" s="339">
        <v>450</v>
      </c>
      <c r="R49" s="345"/>
      <c r="S49" s="339">
        <v>450</v>
      </c>
      <c r="T49" s="345"/>
      <c r="U49" s="339">
        <v>450</v>
      </c>
      <c r="V49" s="345"/>
      <c r="W49" s="339">
        <v>450</v>
      </c>
      <c r="X49" s="345"/>
      <c r="Y49" s="339">
        <v>450</v>
      </c>
      <c r="Z49" s="345"/>
      <c r="AA49" s="339">
        <v>450</v>
      </c>
      <c r="AB49" s="340"/>
    </row>
    <row r="50" spans="1:28" ht="21" hidden="1" customHeight="1" x14ac:dyDescent="0.2">
      <c r="A50" s="417" t="s">
        <v>123</v>
      </c>
      <c r="B50" s="418"/>
      <c r="C50" s="324">
        <v>1250</v>
      </c>
      <c r="D50" s="341"/>
      <c r="E50" s="324">
        <v>1250</v>
      </c>
      <c r="F50" s="341"/>
      <c r="G50" s="324">
        <v>1250</v>
      </c>
      <c r="H50" s="341"/>
      <c r="I50" s="324">
        <v>1250</v>
      </c>
      <c r="J50" s="341"/>
      <c r="K50" s="324">
        <v>0</v>
      </c>
      <c r="L50" s="325"/>
      <c r="M50" s="324">
        <v>0</v>
      </c>
      <c r="N50" s="325"/>
      <c r="O50" s="324">
        <v>0</v>
      </c>
      <c r="P50" s="325"/>
      <c r="Q50" s="324">
        <v>0</v>
      </c>
      <c r="R50" s="325"/>
      <c r="S50" s="324">
        <v>0</v>
      </c>
      <c r="T50" s="325"/>
      <c r="U50" s="324">
        <v>0</v>
      </c>
      <c r="V50" s="325"/>
      <c r="W50" s="324">
        <v>0</v>
      </c>
      <c r="X50" s="325"/>
      <c r="Y50" s="324">
        <v>0</v>
      </c>
      <c r="Z50" s="325"/>
      <c r="AA50" s="324">
        <v>0</v>
      </c>
      <c r="AB50" s="341"/>
    </row>
    <row r="51" spans="1:28" ht="16.5" hidden="1" customHeight="1" x14ac:dyDescent="0.2">
      <c r="A51" s="86" t="s">
        <v>47</v>
      </c>
      <c r="B51" s="87"/>
      <c r="C51" s="408">
        <v>500</v>
      </c>
      <c r="D51" s="409"/>
      <c r="E51" s="408">
        <v>500</v>
      </c>
      <c r="F51" s="409"/>
      <c r="G51" s="408">
        <v>500</v>
      </c>
      <c r="H51" s="409"/>
      <c r="I51" s="408">
        <v>500</v>
      </c>
      <c r="J51" s="409"/>
      <c r="K51" s="324">
        <v>0</v>
      </c>
      <c r="L51" s="325"/>
      <c r="M51" s="324">
        <v>0</v>
      </c>
      <c r="N51" s="325"/>
      <c r="O51" s="324">
        <v>0</v>
      </c>
      <c r="P51" s="325"/>
      <c r="Q51" s="324">
        <v>0</v>
      </c>
      <c r="R51" s="325"/>
      <c r="S51" s="324">
        <v>0</v>
      </c>
      <c r="T51" s="325"/>
      <c r="U51" s="324">
        <v>0</v>
      </c>
      <c r="V51" s="325"/>
      <c r="W51" s="324">
        <v>0</v>
      </c>
      <c r="X51" s="325"/>
      <c r="Y51" s="324">
        <v>0</v>
      </c>
      <c r="Z51" s="325"/>
      <c r="AA51" s="324">
        <v>0</v>
      </c>
      <c r="AB51" s="341"/>
    </row>
    <row r="52" spans="1:28" ht="22.5" hidden="1" customHeight="1" x14ac:dyDescent="0.2">
      <c r="A52" s="88" t="s">
        <v>62</v>
      </c>
      <c r="B52" s="26"/>
      <c r="C52" s="326"/>
      <c r="D52" s="342"/>
      <c r="E52" s="326"/>
      <c r="F52" s="342"/>
      <c r="G52" s="326"/>
      <c r="H52" s="342"/>
      <c r="I52" s="326"/>
      <c r="J52" s="342"/>
      <c r="K52" s="326"/>
      <c r="L52" s="327"/>
      <c r="M52" s="326"/>
      <c r="N52" s="327"/>
      <c r="O52" s="326"/>
      <c r="P52" s="327"/>
      <c r="Q52" s="326"/>
      <c r="R52" s="327"/>
      <c r="S52" s="326"/>
      <c r="T52" s="327"/>
      <c r="U52" s="326"/>
      <c r="V52" s="327"/>
      <c r="W52" s="326"/>
      <c r="X52" s="327"/>
      <c r="Y52" s="326"/>
      <c r="Z52" s="327"/>
      <c r="AA52" s="326"/>
      <c r="AB52" s="342"/>
    </row>
    <row r="53" spans="1:28" ht="16.5" hidden="1" customHeight="1" x14ac:dyDescent="0.2">
      <c r="A53" s="105" t="s">
        <v>63</v>
      </c>
      <c r="B53" s="26"/>
      <c r="C53" s="408">
        <v>5</v>
      </c>
      <c r="D53" s="409"/>
      <c r="E53" s="408">
        <v>5</v>
      </c>
      <c r="F53" s="409"/>
      <c r="G53" s="408">
        <v>5</v>
      </c>
      <c r="H53" s="409"/>
      <c r="I53" s="408">
        <v>5</v>
      </c>
      <c r="J53" s="409"/>
      <c r="K53" s="89"/>
      <c r="L53" s="212"/>
      <c r="M53" s="210"/>
      <c r="N53" s="212"/>
      <c r="O53" s="210"/>
      <c r="P53" s="212"/>
      <c r="Q53" s="210"/>
      <c r="R53" s="212"/>
      <c r="S53" s="210"/>
      <c r="T53" s="212"/>
      <c r="U53" s="210"/>
      <c r="V53" s="212"/>
      <c r="W53" s="210"/>
      <c r="X53" s="212"/>
      <c r="Y53" s="210"/>
      <c r="Z53" s="212"/>
      <c r="AA53" s="210"/>
      <c r="AB53" s="211"/>
    </row>
    <row r="54" spans="1:28" ht="16.5" hidden="1" customHeight="1" x14ac:dyDescent="0.2">
      <c r="A54" s="105" t="s">
        <v>64</v>
      </c>
      <c r="B54" s="26"/>
      <c r="C54" s="408">
        <v>10</v>
      </c>
      <c r="D54" s="409"/>
      <c r="E54" s="408">
        <v>10</v>
      </c>
      <c r="F54" s="409"/>
      <c r="G54" s="408">
        <v>10</v>
      </c>
      <c r="H54" s="409"/>
      <c r="I54" s="408">
        <v>10</v>
      </c>
      <c r="J54" s="409"/>
      <c r="K54" s="89"/>
      <c r="L54" s="212"/>
      <c r="M54" s="210"/>
      <c r="N54" s="212"/>
      <c r="O54" s="210"/>
      <c r="P54" s="212"/>
      <c r="Q54" s="210"/>
      <c r="R54" s="212"/>
      <c r="S54" s="210"/>
      <c r="T54" s="212"/>
      <c r="U54" s="210"/>
      <c r="V54" s="212"/>
      <c r="W54" s="210"/>
      <c r="X54" s="212"/>
      <c r="Y54" s="210"/>
      <c r="Z54" s="212"/>
      <c r="AA54" s="210"/>
      <c r="AB54" s="211"/>
    </row>
    <row r="55" spans="1:28" ht="16.5" hidden="1" customHeight="1" x14ac:dyDescent="0.2">
      <c r="A55" s="105" t="s">
        <v>65</v>
      </c>
      <c r="B55" s="26"/>
      <c r="C55" s="408">
        <v>15</v>
      </c>
      <c r="D55" s="409"/>
      <c r="E55" s="408">
        <v>15</v>
      </c>
      <c r="F55" s="409"/>
      <c r="G55" s="408">
        <v>15</v>
      </c>
      <c r="H55" s="409"/>
      <c r="I55" s="408">
        <v>15</v>
      </c>
      <c r="J55" s="409"/>
      <c r="K55" s="89"/>
      <c r="L55" s="212"/>
      <c r="M55" s="210"/>
      <c r="N55" s="212"/>
      <c r="O55" s="210"/>
      <c r="P55" s="212"/>
      <c r="Q55" s="210"/>
      <c r="R55" s="212"/>
      <c r="S55" s="210"/>
      <c r="T55" s="212"/>
      <c r="U55" s="210"/>
      <c r="V55" s="212"/>
      <c r="W55" s="210"/>
      <c r="X55" s="212"/>
      <c r="Y55" s="210"/>
      <c r="Z55" s="212"/>
      <c r="AA55" s="210"/>
      <c r="AB55" s="211"/>
    </row>
    <row r="56" spans="1:28" ht="16.5" hidden="1" customHeight="1" x14ac:dyDescent="0.2">
      <c r="A56" s="105" t="s">
        <v>66</v>
      </c>
      <c r="B56" s="26"/>
      <c r="C56" s="408">
        <v>20</v>
      </c>
      <c r="D56" s="409"/>
      <c r="E56" s="408">
        <v>20</v>
      </c>
      <c r="F56" s="409"/>
      <c r="G56" s="408">
        <v>20</v>
      </c>
      <c r="H56" s="409"/>
      <c r="I56" s="408">
        <v>20</v>
      </c>
      <c r="J56" s="409"/>
      <c r="K56" s="89"/>
      <c r="L56" s="212"/>
      <c r="M56" s="210"/>
      <c r="N56" s="212"/>
      <c r="O56" s="210"/>
      <c r="P56" s="212"/>
      <c r="Q56" s="210"/>
      <c r="R56" s="212"/>
      <c r="S56" s="210"/>
      <c r="T56" s="212"/>
      <c r="U56" s="210"/>
      <c r="V56" s="212"/>
      <c r="W56" s="210"/>
      <c r="X56" s="212"/>
      <c r="Y56" s="210"/>
      <c r="Z56" s="212"/>
      <c r="AA56" s="210"/>
      <c r="AB56" s="211"/>
    </row>
    <row r="57" spans="1:28" ht="16.5" hidden="1" customHeight="1" x14ac:dyDescent="0.2">
      <c r="A57" s="88" t="s">
        <v>48</v>
      </c>
      <c r="B57" s="26"/>
      <c r="C57" s="89"/>
      <c r="D57" s="90"/>
      <c r="E57" s="89"/>
      <c r="F57" s="91"/>
      <c r="G57" s="92"/>
      <c r="H57" s="91"/>
      <c r="I57" s="92"/>
      <c r="J57" s="91"/>
      <c r="K57" s="89"/>
      <c r="L57" s="212"/>
      <c r="M57" s="210"/>
      <c r="N57" s="212"/>
      <c r="O57" s="210"/>
      <c r="P57" s="212"/>
      <c r="Q57" s="210"/>
      <c r="R57" s="212"/>
      <c r="S57" s="210"/>
      <c r="T57" s="212"/>
      <c r="U57" s="210"/>
      <c r="V57" s="212"/>
      <c r="W57" s="210"/>
      <c r="X57" s="212"/>
      <c r="Y57" s="210"/>
      <c r="Z57" s="212"/>
      <c r="AA57" s="210"/>
      <c r="AB57" s="211"/>
    </row>
    <row r="58" spans="1:28" ht="16.5" hidden="1" customHeight="1" x14ac:dyDescent="0.2">
      <c r="A58" s="88" t="s">
        <v>82</v>
      </c>
      <c r="B58" s="26"/>
      <c r="C58" s="89"/>
      <c r="D58" s="90"/>
      <c r="E58" s="92"/>
      <c r="F58" s="91"/>
      <c r="G58" s="92"/>
      <c r="H58" s="91"/>
      <c r="I58" s="92"/>
      <c r="J58" s="91"/>
      <c r="K58" s="89"/>
      <c r="L58" s="212"/>
      <c r="M58" s="210"/>
      <c r="N58" s="212"/>
      <c r="O58" s="210"/>
      <c r="P58" s="212"/>
      <c r="Q58" s="210"/>
      <c r="R58" s="212"/>
      <c r="S58" s="210"/>
      <c r="T58" s="212"/>
      <c r="U58" s="210"/>
      <c r="V58" s="212"/>
      <c r="W58" s="210"/>
      <c r="X58" s="212"/>
      <c r="Y58" s="210"/>
      <c r="Z58" s="212"/>
      <c r="AA58" s="210"/>
      <c r="AB58" s="211"/>
    </row>
    <row r="59" spans="1:28" ht="9" hidden="1" customHeight="1" x14ac:dyDescent="0.2">
      <c r="A59" s="113"/>
      <c r="B59" s="93"/>
      <c r="C59" s="114"/>
      <c r="D59" s="115"/>
      <c r="E59" s="116"/>
      <c r="F59" s="117"/>
      <c r="G59" s="116"/>
      <c r="H59" s="117"/>
      <c r="I59" s="116"/>
      <c r="J59" s="117"/>
      <c r="K59" s="114"/>
      <c r="L59" s="117"/>
      <c r="M59" s="114"/>
      <c r="N59" s="117"/>
      <c r="O59" s="114"/>
      <c r="P59" s="117"/>
      <c r="Q59" s="114"/>
      <c r="R59" s="117"/>
      <c r="S59" s="114"/>
      <c r="T59" s="117"/>
      <c r="U59" s="114"/>
      <c r="V59" s="117"/>
      <c r="W59" s="114"/>
      <c r="X59" s="117"/>
      <c r="Y59" s="114"/>
      <c r="Z59" s="117"/>
      <c r="AA59" s="114"/>
      <c r="AB59" s="115"/>
    </row>
    <row r="60" spans="1:28" hidden="1" x14ac:dyDescent="0.2">
      <c r="A60" s="222" t="s">
        <v>147</v>
      </c>
      <c r="B60" s="223"/>
      <c r="C60" s="313"/>
      <c r="D60" s="314"/>
      <c r="E60" s="313"/>
      <c r="F60" s="314"/>
      <c r="G60" s="313"/>
      <c r="H60" s="314"/>
      <c r="I60" s="313"/>
      <c r="J60" s="314"/>
      <c r="K60" s="313"/>
      <c r="L60" s="314"/>
      <c r="M60" s="313"/>
      <c r="N60" s="314"/>
      <c r="O60" s="313"/>
      <c r="P60" s="314"/>
      <c r="Q60" s="313"/>
      <c r="R60" s="314"/>
      <c r="S60" s="313"/>
      <c r="T60" s="314"/>
      <c r="U60" s="313"/>
      <c r="V60" s="314"/>
      <c r="W60" s="313"/>
      <c r="X60" s="314"/>
      <c r="Y60" s="313"/>
      <c r="Z60" s="314"/>
      <c r="AA60" s="313"/>
      <c r="AB60" s="314"/>
    </row>
    <row r="61" spans="1:28" ht="13.5" hidden="1" customHeight="1" x14ac:dyDescent="0.2">
      <c r="A61" s="227" t="s">
        <v>148</v>
      </c>
      <c r="B61" s="228"/>
      <c r="C61" s="309">
        <f>8%*98.25%</f>
        <v>7.8600000000000003E-2</v>
      </c>
      <c r="D61" s="310"/>
      <c r="E61" s="309">
        <f t="shared" ref="E61" si="125">8%*98.25%</f>
        <v>7.8600000000000003E-2</v>
      </c>
      <c r="F61" s="310"/>
      <c r="G61" s="309">
        <f t="shared" ref="G61" si="126">8%*98.25%</f>
        <v>7.8600000000000003E-2</v>
      </c>
      <c r="H61" s="310"/>
      <c r="I61" s="309">
        <f t="shared" ref="I61" si="127">8%*98.25%</f>
        <v>7.8600000000000003E-2</v>
      </c>
      <c r="J61" s="310"/>
      <c r="K61" s="309">
        <f t="shared" ref="K61" si="128">8%*98.25%</f>
        <v>7.8600000000000003E-2</v>
      </c>
      <c r="L61" s="310"/>
      <c r="M61" s="309">
        <f t="shared" ref="M61" si="129">8%*98.25%</f>
        <v>7.8600000000000003E-2</v>
      </c>
      <c r="N61" s="310"/>
      <c r="O61" s="309">
        <f t="shared" ref="O61" si="130">8%*98.25%</f>
        <v>7.8600000000000003E-2</v>
      </c>
      <c r="P61" s="310"/>
      <c r="Q61" s="309">
        <f t="shared" ref="Q61" si="131">8%*98.25%</f>
        <v>7.8600000000000003E-2</v>
      </c>
      <c r="R61" s="310"/>
      <c r="S61" s="309">
        <f t="shared" ref="S61" si="132">8%*98.25%</f>
        <v>7.8600000000000003E-2</v>
      </c>
      <c r="T61" s="310"/>
      <c r="U61" s="309">
        <f t="shared" ref="U61" si="133">8%*98.25%</f>
        <v>7.8600000000000003E-2</v>
      </c>
      <c r="V61" s="310"/>
      <c r="W61" s="309">
        <f t="shared" ref="W61" si="134">8%*98.25%</f>
        <v>7.8600000000000003E-2</v>
      </c>
      <c r="X61" s="310"/>
      <c r="Y61" s="309">
        <f t="shared" ref="Y61" si="135">8%*98.25%</f>
        <v>7.8600000000000003E-2</v>
      </c>
      <c r="Z61" s="310"/>
      <c r="AA61" s="309">
        <f t="shared" ref="AA61" si="136">8%*98.25%</f>
        <v>7.8600000000000003E-2</v>
      </c>
      <c r="AB61" s="310"/>
    </row>
    <row r="62" spans="1:28" hidden="1" x14ac:dyDescent="0.2">
      <c r="A62" s="227" t="s">
        <v>149</v>
      </c>
      <c r="B62" s="228"/>
      <c r="C62" s="309">
        <f>9%*98.25%</f>
        <v>8.8425000000000004E-2</v>
      </c>
      <c r="D62" s="310"/>
      <c r="E62" s="309">
        <f t="shared" ref="E62" si="137">9%*98.25%</f>
        <v>8.8425000000000004E-2</v>
      </c>
      <c r="F62" s="310"/>
      <c r="G62" s="309">
        <f t="shared" ref="G62" si="138">9%*98.25%</f>
        <v>8.8425000000000004E-2</v>
      </c>
      <c r="H62" s="310"/>
      <c r="I62" s="309">
        <f t="shared" ref="I62" si="139">9%*98.25%</f>
        <v>8.8425000000000004E-2</v>
      </c>
      <c r="J62" s="310"/>
      <c r="K62" s="309">
        <f t="shared" ref="K62" si="140">9%*98.25%</f>
        <v>8.8425000000000004E-2</v>
      </c>
      <c r="L62" s="310"/>
      <c r="M62" s="309">
        <f t="shared" ref="M62" si="141">9%*98.25%</f>
        <v>8.8425000000000004E-2</v>
      </c>
      <c r="N62" s="310"/>
      <c r="O62" s="309">
        <f t="shared" ref="O62" si="142">9%*98.25%</f>
        <v>8.8425000000000004E-2</v>
      </c>
      <c r="P62" s="310"/>
      <c r="Q62" s="309">
        <f t="shared" ref="Q62" si="143">9%*98.25%</f>
        <v>8.8425000000000004E-2</v>
      </c>
      <c r="R62" s="310"/>
      <c r="S62" s="309">
        <f t="shared" ref="S62" si="144">9%*98.25%</f>
        <v>8.8425000000000004E-2</v>
      </c>
      <c r="T62" s="310"/>
      <c r="U62" s="309">
        <f t="shared" ref="U62" si="145">9%*98.25%</f>
        <v>8.8425000000000004E-2</v>
      </c>
      <c r="V62" s="310"/>
      <c r="W62" s="309">
        <f t="shared" ref="W62" si="146">9%*98.25%</f>
        <v>8.8425000000000004E-2</v>
      </c>
      <c r="X62" s="310"/>
      <c r="Y62" s="309">
        <f t="shared" ref="Y62" si="147">9%*98.25%</f>
        <v>8.8425000000000004E-2</v>
      </c>
      <c r="Z62" s="310"/>
      <c r="AA62" s="309">
        <f t="shared" ref="AA62" si="148">9%*98.25%</f>
        <v>8.8425000000000004E-2</v>
      </c>
      <c r="AB62" s="310"/>
    </row>
    <row r="63" spans="1:28" hidden="1" x14ac:dyDescent="0.2">
      <c r="A63" s="227" t="s">
        <v>150</v>
      </c>
      <c r="B63" s="228"/>
      <c r="C63" s="311">
        <v>0.08</v>
      </c>
      <c r="D63" s="312"/>
      <c r="E63" s="311">
        <v>0.08</v>
      </c>
      <c r="F63" s="312"/>
      <c r="G63" s="311">
        <v>0.08</v>
      </c>
      <c r="H63" s="312"/>
      <c r="I63" s="311">
        <v>0.08</v>
      </c>
      <c r="J63" s="312"/>
      <c r="K63" s="311">
        <v>0.08</v>
      </c>
      <c r="L63" s="312"/>
      <c r="M63" s="311">
        <v>0.08</v>
      </c>
      <c r="N63" s="312"/>
      <c r="O63" s="311">
        <v>0.08</v>
      </c>
      <c r="P63" s="312"/>
      <c r="Q63" s="311">
        <v>0.08</v>
      </c>
      <c r="R63" s="312"/>
      <c r="S63" s="311">
        <v>0.08</v>
      </c>
      <c r="T63" s="312"/>
      <c r="U63" s="311">
        <v>0.08</v>
      </c>
      <c r="V63" s="312"/>
      <c r="W63" s="311">
        <v>0.08</v>
      </c>
      <c r="X63" s="312"/>
      <c r="Y63" s="311">
        <v>0.08</v>
      </c>
      <c r="Z63" s="312"/>
      <c r="AA63" s="311">
        <v>0.08</v>
      </c>
      <c r="AB63" s="312"/>
    </row>
    <row r="64" spans="1:28" hidden="1" x14ac:dyDescent="0.2">
      <c r="A64" s="221" t="s">
        <v>151</v>
      </c>
      <c r="B64" s="224"/>
      <c r="C64" s="307">
        <v>0.2</v>
      </c>
      <c r="D64" s="308"/>
      <c r="E64" s="307">
        <v>0.2</v>
      </c>
      <c r="F64" s="308"/>
      <c r="G64" s="307">
        <v>0.2</v>
      </c>
      <c r="H64" s="308"/>
      <c r="I64" s="307">
        <v>0.2</v>
      </c>
      <c r="J64" s="308"/>
      <c r="K64" s="307">
        <v>0.2</v>
      </c>
      <c r="L64" s="308"/>
      <c r="M64" s="307">
        <v>0.2</v>
      </c>
      <c r="N64" s="308"/>
      <c r="O64" s="307">
        <v>0.2</v>
      </c>
      <c r="P64" s="308"/>
      <c r="Q64" s="307">
        <v>0.2</v>
      </c>
      <c r="R64" s="308"/>
      <c r="S64" s="307">
        <v>0.2</v>
      </c>
      <c r="T64" s="308"/>
      <c r="U64" s="307">
        <v>0.2</v>
      </c>
      <c r="V64" s="308"/>
      <c r="W64" s="307">
        <v>0.2</v>
      </c>
      <c r="X64" s="308"/>
      <c r="Y64" s="307">
        <v>0.2</v>
      </c>
      <c r="Z64" s="308"/>
      <c r="AA64" s="307">
        <v>0.2</v>
      </c>
      <c r="AB64" s="308"/>
    </row>
    <row r="65" spans="1:28" hidden="1" x14ac:dyDescent="0.2">
      <c r="A65" s="221" t="s">
        <v>152</v>
      </c>
      <c r="B65" s="224"/>
      <c r="C65" s="307">
        <v>0.22</v>
      </c>
      <c r="D65" s="308"/>
      <c r="E65" s="307">
        <v>0.22</v>
      </c>
      <c r="F65" s="308"/>
      <c r="G65" s="307">
        <v>0.22</v>
      </c>
      <c r="H65" s="308"/>
      <c r="I65" s="307">
        <v>0.22</v>
      </c>
      <c r="J65" s="308"/>
      <c r="K65" s="307">
        <v>0.22</v>
      </c>
      <c r="L65" s="308"/>
      <c r="M65" s="307">
        <v>0.22</v>
      </c>
      <c r="N65" s="308"/>
      <c r="O65" s="307">
        <v>0.22</v>
      </c>
      <c r="P65" s="308"/>
      <c r="Q65" s="307">
        <v>0.22</v>
      </c>
      <c r="R65" s="308"/>
      <c r="S65" s="307">
        <v>0.22</v>
      </c>
      <c r="T65" s="308"/>
      <c r="U65" s="307">
        <v>0.22</v>
      </c>
      <c r="V65" s="308"/>
      <c r="W65" s="307">
        <v>0.22</v>
      </c>
      <c r="X65" s="308"/>
      <c r="Y65" s="307">
        <v>0.22</v>
      </c>
      <c r="Z65" s="308"/>
      <c r="AA65" s="307">
        <v>0.22</v>
      </c>
      <c r="AB65" s="308"/>
    </row>
    <row r="66" spans="1:28" hidden="1" x14ac:dyDescent="0.2">
      <c r="A66" s="225" t="s">
        <v>153</v>
      </c>
      <c r="B66" s="226"/>
      <c r="C66" s="305">
        <v>0.08</v>
      </c>
      <c r="D66" s="306"/>
      <c r="E66" s="305">
        <v>0.08</v>
      </c>
      <c r="F66" s="306"/>
      <c r="G66" s="305">
        <v>0.08</v>
      </c>
      <c r="H66" s="306"/>
      <c r="I66" s="305">
        <v>0.08</v>
      </c>
      <c r="J66" s="306"/>
      <c r="K66" s="305">
        <v>0.08</v>
      </c>
      <c r="L66" s="306"/>
      <c r="M66" s="305">
        <v>0.08</v>
      </c>
      <c r="N66" s="306"/>
      <c r="O66" s="305">
        <v>0.08</v>
      </c>
      <c r="P66" s="306"/>
      <c r="Q66" s="305">
        <v>0.08</v>
      </c>
      <c r="R66" s="306"/>
      <c r="S66" s="305">
        <v>0.08</v>
      </c>
      <c r="T66" s="306"/>
      <c r="U66" s="305">
        <v>0.08</v>
      </c>
      <c r="V66" s="306"/>
      <c r="W66" s="305">
        <v>0.08</v>
      </c>
      <c r="X66" s="306"/>
      <c r="Y66" s="305">
        <v>0.08</v>
      </c>
      <c r="Z66" s="306"/>
      <c r="AA66" s="305">
        <v>0.08</v>
      </c>
      <c r="AB66" s="306"/>
    </row>
  </sheetData>
  <sheetProtection algorithmName="SHA-512" hashValue="xVXpfPKhCkpxDRMQLlmKk48Ro8Grqe5pOsdpcauD2bQQ3XwpPKOwraqi9PPkGuTtkMlIAOwIXHtndeBMhL9jiw==" saltValue="HDzS17CXZbBwBZIjGhJFUw==" spinCount="100000" sheet="1" objects="1" scenarios="1"/>
  <mergeCells count="523">
    <mergeCell ref="A47:B47"/>
    <mergeCell ref="A50:B50"/>
    <mergeCell ref="A22:B22"/>
    <mergeCell ref="C22:D22"/>
    <mergeCell ref="E22:F22"/>
    <mergeCell ref="G22:H22"/>
    <mergeCell ref="I22:J22"/>
    <mergeCell ref="K22:L22"/>
    <mergeCell ref="A1:AB1"/>
    <mergeCell ref="K43:L43"/>
    <mergeCell ref="K44:L44"/>
    <mergeCell ref="A23:B23"/>
    <mergeCell ref="C35:D35"/>
    <mergeCell ref="E35:F35"/>
    <mergeCell ref="A11:B11"/>
    <mergeCell ref="A12:B12"/>
    <mergeCell ref="A13:B13"/>
    <mergeCell ref="C27:D27"/>
    <mergeCell ref="E27:F27"/>
    <mergeCell ref="G27:H27"/>
    <mergeCell ref="I27:J27"/>
    <mergeCell ref="C18:D18"/>
    <mergeCell ref="E36:F36"/>
    <mergeCell ref="E38:F38"/>
    <mergeCell ref="G36:H36"/>
    <mergeCell ref="G38:H38"/>
    <mergeCell ref="K47:L47"/>
    <mergeCell ref="K48:L48"/>
    <mergeCell ref="K49:L49"/>
    <mergeCell ref="G50:H50"/>
    <mergeCell ref="I50:J50"/>
    <mergeCell ref="K50:L50"/>
    <mergeCell ref="E41:F41"/>
    <mergeCell ref="I41:J41"/>
    <mergeCell ref="G41:H41"/>
    <mergeCell ref="G48:H48"/>
    <mergeCell ref="E42:F42"/>
    <mergeCell ref="G42:H42"/>
    <mergeCell ref="M65:N65"/>
    <mergeCell ref="M63:N63"/>
    <mergeCell ref="M64:N64"/>
    <mergeCell ref="K19:L19"/>
    <mergeCell ref="K35:L35"/>
    <mergeCell ref="I32:J32"/>
    <mergeCell ref="K32:L32"/>
    <mergeCell ref="G34:H34"/>
    <mergeCell ref="I34:J34"/>
    <mergeCell ref="K34:L34"/>
    <mergeCell ref="I33:J33"/>
    <mergeCell ref="G19:H19"/>
    <mergeCell ref="I19:J19"/>
    <mergeCell ref="K33:L33"/>
    <mergeCell ref="G31:H31"/>
    <mergeCell ref="G33:H33"/>
    <mergeCell ref="G32:H32"/>
    <mergeCell ref="I31:J31"/>
    <mergeCell ref="K20:L20"/>
    <mergeCell ref="K21:L21"/>
    <mergeCell ref="G53:H53"/>
    <mergeCell ref="I53:J53"/>
    <mergeCell ref="G52:H52"/>
    <mergeCell ref="I52:J52"/>
    <mergeCell ref="G35:H35"/>
    <mergeCell ref="I35:J35"/>
    <mergeCell ref="K27:L27"/>
    <mergeCell ref="E29:F29"/>
    <mergeCell ref="G29:H29"/>
    <mergeCell ref="I29:J29"/>
    <mergeCell ref="K29:L29"/>
    <mergeCell ref="C28:D28"/>
    <mergeCell ref="E28:F28"/>
    <mergeCell ref="G28:H28"/>
    <mergeCell ref="I28:J28"/>
    <mergeCell ref="K28:L28"/>
    <mergeCell ref="E34:F34"/>
    <mergeCell ref="E31:F31"/>
    <mergeCell ref="E33:F33"/>
    <mergeCell ref="E32:F32"/>
    <mergeCell ref="C32:D32"/>
    <mergeCell ref="U66:V66"/>
    <mergeCell ref="W66:X66"/>
    <mergeCell ref="Y66:Z66"/>
    <mergeCell ref="AA66:AB66"/>
    <mergeCell ref="S62:T62"/>
    <mergeCell ref="S63:T63"/>
    <mergeCell ref="S64:T64"/>
    <mergeCell ref="W60:X60"/>
    <mergeCell ref="W61:X61"/>
    <mergeCell ref="W62:X62"/>
    <mergeCell ref="W63:X63"/>
    <mergeCell ref="W64:X64"/>
    <mergeCell ref="U60:V60"/>
    <mergeCell ref="U61:V61"/>
    <mergeCell ref="U62:V62"/>
    <mergeCell ref="S65:T65"/>
    <mergeCell ref="AA62:AB62"/>
    <mergeCell ref="AA63:AB63"/>
    <mergeCell ref="AA64:AB64"/>
    <mergeCell ref="Y65:Z65"/>
    <mergeCell ref="Y60:Z60"/>
    <mergeCell ref="Y61:Z61"/>
    <mergeCell ref="Y62:Z62"/>
    <mergeCell ref="U65:V65"/>
    <mergeCell ref="W65:X65"/>
    <mergeCell ref="Y63:Z63"/>
    <mergeCell ref="Y64:Z64"/>
    <mergeCell ref="AA65:AB65"/>
    <mergeCell ref="U63:V63"/>
    <mergeCell ref="U64:V64"/>
    <mergeCell ref="C50:D50"/>
    <mergeCell ref="E50:F50"/>
    <mergeCell ref="C56:D56"/>
    <mergeCell ref="E56:F56"/>
    <mergeCell ref="G56:H56"/>
    <mergeCell ref="I56:J56"/>
    <mergeCell ref="G51:H51"/>
    <mergeCell ref="I51:J51"/>
    <mergeCell ref="K51:L51"/>
    <mergeCell ref="C55:D55"/>
    <mergeCell ref="C53:D53"/>
    <mergeCell ref="C54:D54"/>
    <mergeCell ref="C51:D51"/>
    <mergeCell ref="C52:D52"/>
    <mergeCell ref="E54:F54"/>
    <mergeCell ref="G54:H54"/>
    <mergeCell ref="I54:J54"/>
    <mergeCell ref="E55:F55"/>
    <mergeCell ref="G55:H55"/>
    <mergeCell ref="I55:J55"/>
    <mergeCell ref="E53:F53"/>
    <mergeCell ref="E52:F52"/>
    <mergeCell ref="K52:L52"/>
    <mergeCell ref="E51:F51"/>
    <mergeCell ref="C47:D47"/>
    <mergeCell ref="C48:D48"/>
    <mergeCell ref="C34:D34"/>
    <mergeCell ref="C36:D36"/>
    <mergeCell ref="K41:L41"/>
    <mergeCell ref="I36:J36"/>
    <mergeCell ref="I38:J38"/>
    <mergeCell ref="K36:L36"/>
    <mergeCell ref="K38:L38"/>
    <mergeCell ref="I42:J42"/>
    <mergeCell ref="K42:L42"/>
    <mergeCell ref="I47:J47"/>
    <mergeCell ref="I48:J48"/>
    <mergeCell ref="K45:L45"/>
    <mergeCell ref="K46:L46"/>
    <mergeCell ref="E48:F48"/>
    <mergeCell ref="G47:H47"/>
    <mergeCell ref="E47:F47"/>
    <mergeCell ref="C24:D24"/>
    <mergeCell ref="C25:D25"/>
    <mergeCell ref="C31:D31"/>
    <mergeCell ref="C42:D42"/>
    <mergeCell ref="C33:D33"/>
    <mergeCell ref="C38:D38"/>
    <mergeCell ref="C41:D41"/>
    <mergeCell ref="C30:D30"/>
    <mergeCell ref="C29:D29"/>
    <mergeCell ref="O65:P65"/>
    <mergeCell ref="M36:N36"/>
    <mergeCell ref="O36:P36"/>
    <mergeCell ref="Q36:R36"/>
    <mergeCell ref="M49:N49"/>
    <mergeCell ref="M50:N50"/>
    <mergeCell ref="M51:N51"/>
    <mergeCell ref="M52:N52"/>
    <mergeCell ref="O49:P49"/>
    <mergeCell ref="O50:P50"/>
    <mergeCell ref="O51:P51"/>
    <mergeCell ref="O52:P52"/>
    <mergeCell ref="Q63:R63"/>
    <mergeCell ref="Q64:R64"/>
    <mergeCell ref="Q60:R60"/>
    <mergeCell ref="Q61:R61"/>
    <mergeCell ref="Q62:R62"/>
    <mergeCell ref="Q65:R65"/>
    <mergeCell ref="O61:P61"/>
    <mergeCell ref="O62:P62"/>
    <mergeCell ref="O63:P63"/>
    <mergeCell ref="O64:P64"/>
    <mergeCell ref="O60:P60"/>
    <mergeCell ref="M62:N62"/>
    <mergeCell ref="C19:D19"/>
    <mergeCell ref="K23:L23"/>
    <mergeCell ref="I21:J21"/>
    <mergeCell ref="I23:J23"/>
    <mergeCell ref="I24:J24"/>
    <mergeCell ref="K31:L31"/>
    <mergeCell ref="E20:F20"/>
    <mergeCell ref="E21:F21"/>
    <mergeCell ref="E23:F23"/>
    <mergeCell ref="E24:F24"/>
    <mergeCell ref="E30:F30"/>
    <mergeCell ref="G30:H30"/>
    <mergeCell ref="I30:J30"/>
    <mergeCell ref="K30:L30"/>
    <mergeCell ref="E25:F25"/>
    <mergeCell ref="E19:F19"/>
    <mergeCell ref="G20:H20"/>
    <mergeCell ref="G21:H21"/>
    <mergeCell ref="G23:H23"/>
    <mergeCell ref="G24:H24"/>
    <mergeCell ref="G25:H25"/>
    <mergeCell ref="C20:D20"/>
    <mergeCell ref="C21:D21"/>
    <mergeCell ref="C23:D23"/>
    <mergeCell ref="W13:X13"/>
    <mergeCell ref="Y13:Z13"/>
    <mergeCell ref="AA13:AB13"/>
    <mergeCell ref="K24:L24"/>
    <mergeCell ref="K25:L25"/>
    <mergeCell ref="I20:J20"/>
    <mergeCell ref="I25:J25"/>
    <mergeCell ref="G18:H18"/>
    <mergeCell ref="I18:J18"/>
    <mergeCell ref="K18:L18"/>
    <mergeCell ref="M18:N18"/>
    <mergeCell ref="O18:P18"/>
    <mergeCell ref="Q18:R18"/>
    <mergeCell ref="S18:T18"/>
    <mergeCell ref="U18:V18"/>
    <mergeCell ref="W18:X18"/>
    <mergeCell ref="Y18:Z18"/>
    <mergeCell ref="AA18:AB18"/>
    <mergeCell ref="W20:X20"/>
    <mergeCell ref="Y20:Z20"/>
    <mergeCell ref="AA20:AB20"/>
    <mergeCell ref="W19:X19"/>
    <mergeCell ref="Y19:Z19"/>
    <mergeCell ref="AA19:AB19"/>
    <mergeCell ref="A4:F4"/>
    <mergeCell ref="U13:V13"/>
    <mergeCell ref="Q12:R12"/>
    <mergeCell ref="E18:F18"/>
    <mergeCell ref="M20:N20"/>
    <mergeCell ref="O20:P20"/>
    <mergeCell ref="Q20:R20"/>
    <mergeCell ref="S20:T20"/>
    <mergeCell ref="U20:V20"/>
    <mergeCell ref="M19:N19"/>
    <mergeCell ref="O19:P19"/>
    <mergeCell ref="Q19:R19"/>
    <mergeCell ref="S19:T19"/>
    <mergeCell ref="U19:V19"/>
    <mergeCell ref="E13:P13"/>
    <mergeCell ref="D12:P12"/>
    <mergeCell ref="D11:P11"/>
    <mergeCell ref="A14:P14"/>
    <mergeCell ref="H8:R8"/>
    <mergeCell ref="H7:P7"/>
    <mergeCell ref="V5:W5"/>
    <mergeCell ref="V6:W6"/>
    <mergeCell ref="V7:W7"/>
    <mergeCell ref="S4:AB4"/>
    <mergeCell ref="M22:N22"/>
    <mergeCell ref="O22:P22"/>
    <mergeCell ref="Q22:R22"/>
    <mergeCell ref="S22:T22"/>
    <mergeCell ref="U22:V22"/>
    <mergeCell ref="W22:X22"/>
    <mergeCell ref="Y22:Z22"/>
    <mergeCell ref="AA22:AB22"/>
    <mergeCell ref="M21:N21"/>
    <mergeCell ref="O21:P21"/>
    <mergeCell ref="Q21:R21"/>
    <mergeCell ref="S21:T21"/>
    <mergeCell ref="U21:V21"/>
    <mergeCell ref="W21:X21"/>
    <mergeCell ref="Y21:Z21"/>
    <mergeCell ref="AA21:AB21"/>
    <mergeCell ref="M24:N24"/>
    <mergeCell ref="O24:P24"/>
    <mergeCell ref="Q24:R24"/>
    <mergeCell ref="S24:T24"/>
    <mergeCell ref="U24:V24"/>
    <mergeCell ref="W24:X24"/>
    <mergeCell ref="Y24:Z24"/>
    <mergeCell ref="AA24:AB24"/>
    <mergeCell ref="M23:N23"/>
    <mergeCell ref="O23:P23"/>
    <mergeCell ref="Q23:R23"/>
    <mergeCell ref="S23:T23"/>
    <mergeCell ref="U23:V23"/>
    <mergeCell ref="W23:X23"/>
    <mergeCell ref="Y23:Z23"/>
    <mergeCell ref="AA23:AB23"/>
    <mergeCell ref="AA27:AB27"/>
    <mergeCell ref="M25:N25"/>
    <mergeCell ref="O25:P25"/>
    <mergeCell ref="Q25:R25"/>
    <mergeCell ref="S25:T25"/>
    <mergeCell ref="U25:V25"/>
    <mergeCell ref="W25:X25"/>
    <mergeCell ref="Y25:Z25"/>
    <mergeCell ref="AA25:AB25"/>
    <mergeCell ref="AA5:AB5"/>
    <mergeCell ref="AA6:AB6"/>
    <mergeCell ref="AA7:AB7"/>
    <mergeCell ref="M32:N32"/>
    <mergeCell ref="O32:P32"/>
    <mergeCell ref="Q32:R32"/>
    <mergeCell ref="S32:T32"/>
    <mergeCell ref="U32:V32"/>
    <mergeCell ref="M31:N31"/>
    <mergeCell ref="O31:P31"/>
    <mergeCell ref="Q31:R31"/>
    <mergeCell ref="S31:T31"/>
    <mergeCell ref="U31:V31"/>
    <mergeCell ref="W31:X31"/>
    <mergeCell ref="Y31:Z31"/>
    <mergeCell ref="AA31:AB31"/>
    <mergeCell ref="M30:N30"/>
    <mergeCell ref="O30:P30"/>
    <mergeCell ref="Q30:R30"/>
    <mergeCell ref="S30:T30"/>
    <mergeCell ref="U30:V30"/>
    <mergeCell ref="W30:X30"/>
    <mergeCell ref="Y30:Z30"/>
    <mergeCell ref="AA30:AB30"/>
    <mergeCell ref="W32:X32"/>
    <mergeCell ref="Y32:Z32"/>
    <mergeCell ref="AA32:AB32"/>
    <mergeCell ref="M33:N33"/>
    <mergeCell ref="O33:P33"/>
    <mergeCell ref="Q33:R33"/>
    <mergeCell ref="S33:T33"/>
    <mergeCell ref="U33:V33"/>
    <mergeCell ref="W33:X33"/>
    <mergeCell ref="Y33:Z33"/>
    <mergeCell ref="AA33:AB33"/>
    <mergeCell ref="S36:T36"/>
    <mergeCell ref="U36:V36"/>
    <mergeCell ref="W36:X36"/>
    <mergeCell ref="Y36:Z36"/>
    <mergeCell ref="AA36:AB36"/>
    <mergeCell ref="M34:N34"/>
    <mergeCell ref="O34:P34"/>
    <mergeCell ref="Q34:R34"/>
    <mergeCell ref="S34:T34"/>
    <mergeCell ref="U34:V34"/>
    <mergeCell ref="W34:X34"/>
    <mergeCell ref="Y34:Z34"/>
    <mergeCell ref="AA34:AB34"/>
    <mergeCell ref="M35:N35"/>
    <mergeCell ref="O35:P35"/>
    <mergeCell ref="Q35:R35"/>
    <mergeCell ref="S35:T35"/>
    <mergeCell ref="U35:V35"/>
    <mergeCell ref="W35:X35"/>
    <mergeCell ref="Y35:Z35"/>
    <mergeCell ref="AA35:AB35"/>
    <mergeCell ref="M45:N45"/>
    <mergeCell ref="M46:N46"/>
    <mergeCell ref="M47:N47"/>
    <mergeCell ref="M48:N48"/>
    <mergeCell ref="O42:P42"/>
    <mergeCell ref="O43:P43"/>
    <mergeCell ref="O44:P44"/>
    <mergeCell ref="O45:P45"/>
    <mergeCell ref="O46:P46"/>
    <mergeCell ref="O47:P47"/>
    <mergeCell ref="O48:P48"/>
    <mergeCell ref="M42:N42"/>
    <mergeCell ref="M43:N43"/>
    <mergeCell ref="M44:N44"/>
    <mergeCell ref="Y38:Z38"/>
    <mergeCell ref="AA38:AB38"/>
    <mergeCell ref="M41:N41"/>
    <mergeCell ref="O41:P41"/>
    <mergeCell ref="Q41:R41"/>
    <mergeCell ref="S41:T41"/>
    <mergeCell ref="U41:V41"/>
    <mergeCell ref="W41:X41"/>
    <mergeCell ref="Y41:Z41"/>
    <mergeCell ref="AA41:AB41"/>
    <mergeCell ref="M38:N38"/>
    <mergeCell ref="O38:P38"/>
    <mergeCell ref="Q38:R38"/>
    <mergeCell ref="S38:T38"/>
    <mergeCell ref="U38:V38"/>
    <mergeCell ref="W38:X38"/>
    <mergeCell ref="Q52:R52"/>
    <mergeCell ref="S42:T42"/>
    <mergeCell ref="S43:T43"/>
    <mergeCell ref="S44:T44"/>
    <mergeCell ref="S45:T45"/>
    <mergeCell ref="S46:T46"/>
    <mergeCell ref="S47:T47"/>
    <mergeCell ref="S48:T48"/>
    <mergeCell ref="S49:T49"/>
    <mergeCell ref="S50:T50"/>
    <mergeCell ref="S51:T51"/>
    <mergeCell ref="S52:T52"/>
    <mergeCell ref="Q43:R43"/>
    <mergeCell ref="Q44:R44"/>
    <mergeCell ref="Q45:R45"/>
    <mergeCell ref="Q46:R46"/>
    <mergeCell ref="Q47:R47"/>
    <mergeCell ref="Q48:R48"/>
    <mergeCell ref="Q49:R49"/>
    <mergeCell ref="Q50:R50"/>
    <mergeCell ref="Q51:R51"/>
    <mergeCell ref="Q42:R42"/>
    <mergeCell ref="U51:V51"/>
    <mergeCell ref="U52:V52"/>
    <mergeCell ref="W42:X42"/>
    <mergeCell ref="W43:X43"/>
    <mergeCell ref="W44:X44"/>
    <mergeCell ref="W45:X45"/>
    <mergeCell ref="W46:X46"/>
    <mergeCell ref="W47:X47"/>
    <mergeCell ref="W48:X48"/>
    <mergeCell ref="W49:X49"/>
    <mergeCell ref="W50:X50"/>
    <mergeCell ref="W51:X51"/>
    <mergeCell ref="W52:X52"/>
    <mergeCell ref="U42:V42"/>
    <mergeCell ref="U43:V43"/>
    <mergeCell ref="U44:V44"/>
    <mergeCell ref="U45:V45"/>
    <mergeCell ref="U46:V46"/>
    <mergeCell ref="U47:V47"/>
    <mergeCell ref="U48:V48"/>
    <mergeCell ref="U49:V49"/>
    <mergeCell ref="U50:V50"/>
    <mergeCell ref="AA45:AB45"/>
    <mergeCell ref="AA46:AB46"/>
    <mergeCell ref="AA47:AB47"/>
    <mergeCell ref="AA48:AB48"/>
    <mergeCell ref="AA49:AB49"/>
    <mergeCell ref="AA50:AB50"/>
    <mergeCell ref="AA51:AB51"/>
    <mergeCell ref="AA52:AB52"/>
    <mergeCell ref="Y42:Z42"/>
    <mergeCell ref="Y43:Z43"/>
    <mergeCell ref="Y44:Z44"/>
    <mergeCell ref="Y45:Z45"/>
    <mergeCell ref="Y46:Z46"/>
    <mergeCell ref="Y47:Z47"/>
    <mergeCell ref="Y48:Z48"/>
    <mergeCell ref="Y49:Z49"/>
    <mergeCell ref="Y50:Z50"/>
    <mergeCell ref="A25:B25"/>
    <mergeCell ref="A27:B27"/>
    <mergeCell ref="A29:B29"/>
    <mergeCell ref="A30:B30"/>
    <mergeCell ref="A26:B26"/>
    <mergeCell ref="U26:V26"/>
    <mergeCell ref="W26:X26"/>
    <mergeCell ref="Y26:Z26"/>
    <mergeCell ref="AA26:AB26"/>
    <mergeCell ref="M29:N29"/>
    <mergeCell ref="O29:P29"/>
    <mergeCell ref="Q29:R29"/>
    <mergeCell ref="S29:T29"/>
    <mergeCell ref="U29:V29"/>
    <mergeCell ref="W29:X29"/>
    <mergeCell ref="Y29:Z29"/>
    <mergeCell ref="AA29:AB29"/>
    <mergeCell ref="M27:N27"/>
    <mergeCell ref="O27:P27"/>
    <mergeCell ref="Q27:R27"/>
    <mergeCell ref="S27:T27"/>
    <mergeCell ref="U27:V27"/>
    <mergeCell ref="W27:X27"/>
    <mergeCell ref="Y27:Z27"/>
    <mergeCell ref="S60:T60"/>
    <mergeCell ref="S61:T61"/>
    <mergeCell ref="AA60:AB60"/>
    <mergeCell ref="AA61:AB61"/>
    <mergeCell ref="Q11:R11"/>
    <mergeCell ref="Q13:R13"/>
    <mergeCell ref="Q14:R14"/>
    <mergeCell ref="C7:D7"/>
    <mergeCell ref="C8:D8"/>
    <mergeCell ref="Y51:Z51"/>
    <mergeCell ref="Y52:Z52"/>
    <mergeCell ref="AA42:AB42"/>
    <mergeCell ref="AA43:AB43"/>
    <mergeCell ref="C60:D60"/>
    <mergeCell ref="E60:F60"/>
    <mergeCell ref="G60:H60"/>
    <mergeCell ref="I60:J60"/>
    <mergeCell ref="C61:D61"/>
    <mergeCell ref="E61:F61"/>
    <mergeCell ref="G61:H61"/>
    <mergeCell ref="I61:J61"/>
    <mergeCell ref="M60:N60"/>
    <mergeCell ref="M61:N61"/>
    <mergeCell ref="AA44:AB44"/>
    <mergeCell ref="C62:D62"/>
    <mergeCell ref="E62:F62"/>
    <mergeCell ref="G62:H62"/>
    <mergeCell ref="I62:J62"/>
    <mergeCell ref="C63:D63"/>
    <mergeCell ref="E63:F63"/>
    <mergeCell ref="G63:H63"/>
    <mergeCell ref="I63:J63"/>
    <mergeCell ref="K60:L60"/>
    <mergeCell ref="K61:L61"/>
    <mergeCell ref="K62:L62"/>
    <mergeCell ref="K63:L63"/>
    <mergeCell ref="C64:D64"/>
    <mergeCell ref="E64:F64"/>
    <mergeCell ref="G64:H64"/>
    <mergeCell ref="I64:J64"/>
    <mergeCell ref="K64:L64"/>
    <mergeCell ref="C65:D65"/>
    <mergeCell ref="E65:F65"/>
    <mergeCell ref="G65:H65"/>
    <mergeCell ref="I65:J65"/>
    <mergeCell ref="K65:L65"/>
    <mergeCell ref="C66:D66"/>
    <mergeCell ref="E66:F66"/>
    <mergeCell ref="G66:H66"/>
    <mergeCell ref="I66:J66"/>
    <mergeCell ref="K66:L66"/>
    <mergeCell ref="M66:N66"/>
    <mergeCell ref="O66:P66"/>
    <mergeCell ref="Q66:R66"/>
    <mergeCell ref="S66:T66"/>
  </mergeCells>
  <pageMargins left="0.23622047244094491" right="0.23622047244094491" top="0.74803149606299213" bottom="0.19685039370078741" header="0.31496062992125984" footer="0.31496062992125984"/>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C45"/>
  <sheetViews>
    <sheetView workbookViewId="0">
      <selection activeCell="G15" sqref="G15:H15"/>
    </sheetView>
  </sheetViews>
  <sheetFormatPr baseColWidth="10" defaultRowHeight="12.75" x14ac:dyDescent="0.2"/>
  <cols>
    <col min="1" max="1" width="37" customWidth="1"/>
    <col min="2" max="2" width="4" style="19" customWidth="1"/>
    <col min="3" max="3" width="9" customWidth="1"/>
    <col min="4" max="12" width="8" customWidth="1"/>
    <col min="13" max="28" width="5.5703125" hidden="1" customWidth="1"/>
    <col min="29" max="29" width="4.140625" customWidth="1"/>
  </cols>
  <sheetData>
    <row r="1" spans="1:29" ht="29.25" customHeight="1" x14ac:dyDescent="0.2">
      <c r="A1" s="441" t="s">
        <v>77</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row>
    <row r="2" spans="1:29" ht="7.5" customHeight="1" x14ac:dyDescent="0.2">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ht="20.25" customHeight="1" x14ac:dyDescent="0.2">
      <c r="A3" s="64" t="s">
        <v>55</v>
      </c>
      <c r="B3" s="54"/>
      <c r="C3" s="55"/>
      <c r="D3" s="55"/>
      <c r="E3" s="55"/>
      <c r="F3" s="55"/>
      <c r="G3" s="55"/>
      <c r="H3" s="55"/>
      <c r="I3" s="55"/>
      <c r="J3" s="55"/>
      <c r="K3" s="55"/>
      <c r="L3" s="55"/>
      <c r="M3" s="2"/>
      <c r="N3" s="2"/>
      <c r="O3" s="2"/>
      <c r="P3" s="2"/>
      <c r="Q3" s="2"/>
      <c r="R3" s="2"/>
      <c r="S3" s="2"/>
      <c r="T3" s="2"/>
      <c r="U3" s="2"/>
      <c r="V3" s="2"/>
      <c r="W3" s="2"/>
      <c r="X3" s="2"/>
      <c r="Y3" s="2"/>
      <c r="Z3" s="2"/>
      <c r="AA3" s="2"/>
    </row>
    <row r="4" spans="1:29" ht="16.5" customHeight="1" x14ac:dyDescent="0.2">
      <c r="A4" s="69" t="str">
        <f>IF('ESTIMATION PERSONNELL'!L4="","Vous êtes fonctionnaire","Vous êtes salarié sous convention collective")</f>
        <v>Vous êtes fonctionnaire</v>
      </c>
      <c r="B4" s="70"/>
      <c r="C4" s="29"/>
      <c r="D4" s="29"/>
      <c r="E4" s="29"/>
      <c r="F4" s="71"/>
      <c r="G4" s="55"/>
      <c r="H4" s="55"/>
      <c r="I4" s="55"/>
      <c r="J4" s="55"/>
      <c r="K4" s="55"/>
      <c r="L4" s="55"/>
      <c r="M4" s="2"/>
      <c r="N4" s="2"/>
      <c r="O4" s="2"/>
      <c r="P4" s="2"/>
      <c r="Q4" s="2"/>
      <c r="R4" s="2"/>
      <c r="S4" s="2"/>
      <c r="T4" s="2"/>
      <c r="U4" s="2"/>
      <c r="V4" s="2"/>
      <c r="W4" s="2"/>
      <c r="X4" s="2"/>
      <c r="Y4" s="2"/>
      <c r="Z4" s="2"/>
      <c r="AA4" s="2"/>
    </row>
    <row r="5" spans="1:29" ht="16.5" customHeight="1" x14ac:dyDescent="0.2">
      <c r="A5" s="72" t="s">
        <v>49</v>
      </c>
      <c r="B5" s="482">
        <f>'ESTIMATION PERSONNELL'!C7</f>
        <v>0</v>
      </c>
      <c r="C5" s="75" t="s">
        <v>50</v>
      </c>
      <c r="D5" s="73"/>
      <c r="E5" s="74"/>
      <c r="F5" s="43"/>
      <c r="G5" s="55"/>
      <c r="H5" s="55"/>
      <c r="I5" s="55"/>
      <c r="J5" s="55"/>
      <c r="K5" s="55"/>
      <c r="L5" s="55"/>
      <c r="M5" s="2"/>
      <c r="N5" s="2"/>
      <c r="O5" s="2"/>
      <c r="P5" s="2"/>
      <c r="Q5" s="2"/>
      <c r="R5" s="2"/>
      <c r="S5" s="2"/>
      <c r="T5" s="2"/>
      <c r="U5" s="2"/>
      <c r="V5" s="2"/>
      <c r="W5" s="2"/>
      <c r="X5" s="2"/>
      <c r="Y5" s="2"/>
      <c r="Z5" s="2"/>
      <c r="AA5" s="2"/>
    </row>
    <row r="6" spans="1:29" ht="16.5" customHeight="1" x14ac:dyDescent="0.2">
      <c r="A6" s="435" t="s">
        <v>51</v>
      </c>
      <c r="B6" s="436"/>
      <c r="C6" s="483">
        <f>'ESTIMATION PERSONNELL'!C8</f>
        <v>0</v>
      </c>
      <c r="D6" s="75" t="s">
        <v>52</v>
      </c>
      <c r="E6" s="74"/>
      <c r="F6" s="43"/>
      <c r="G6" s="55"/>
      <c r="H6" s="55"/>
      <c r="I6" s="55"/>
      <c r="J6" s="55"/>
      <c r="K6" s="55"/>
      <c r="L6" s="55"/>
      <c r="M6" s="2"/>
      <c r="N6" s="2"/>
      <c r="O6" s="2"/>
      <c r="P6" s="2"/>
      <c r="Q6" s="2"/>
      <c r="R6" s="2"/>
      <c r="S6" s="2"/>
      <c r="T6" s="2"/>
      <c r="U6" s="2"/>
      <c r="V6" s="2"/>
      <c r="W6" s="2"/>
      <c r="X6" s="2"/>
      <c r="Y6" s="2"/>
      <c r="Z6" s="2"/>
      <c r="AA6" s="2"/>
    </row>
    <row r="7" spans="1:29" ht="16.5" customHeight="1" x14ac:dyDescent="0.2">
      <c r="A7" s="484" t="str">
        <f>IF('ESTIMATION PERSONNELL'!G7="","Votre indice n'est pas inférieur ou égal à 466 pour un fonctionnaire","Votre indice est inférieur ou égal à 466 pour un fonctionnaire")</f>
        <v>Votre indice n'est pas inférieur ou égal à 466 pour un fonctionnaire</v>
      </c>
      <c r="B7" s="76"/>
      <c r="C7" s="73"/>
      <c r="D7" s="75"/>
      <c r="E7" s="74"/>
      <c r="F7" s="43"/>
      <c r="G7" s="55"/>
      <c r="H7" s="55"/>
      <c r="I7" s="55"/>
      <c r="J7" s="55"/>
      <c r="K7" s="55"/>
      <c r="L7" s="55"/>
      <c r="M7" s="2"/>
      <c r="N7" s="2"/>
      <c r="O7" s="2"/>
      <c r="P7" s="2"/>
      <c r="Q7" s="2"/>
      <c r="R7" s="2"/>
      <c r="S7" s="2"/>
      <c r="T7" s="2"/>
      <c r="U7" s="2"/>
      <c r="V7" s="2"/>
      <c r="W7" s="2"/>
      <c r="X7" s="2"/>
      <c r="Y7" s="2"/>
      <c r="Z7" s="2"/>
      <c r="AA7" s="2"/>
    </row>
    <row r="8" spans="1:29" ht="16.5" customHeight="1" x14ac:dyDescent="0.2">
      <c r="A8" s="484" t="str">
        <f>IF('ESTIMATION PERSONNELL'!G8="","Vous ne pouvez pas bénéficier du dispositif carrière longue","Vous pouvez bénéficier du dispositif carrière longue")</f>
        <v>Vous ne pouvez pas bénéficier du dispositif carrière longue</v>
      </c>
      <c r="B8" s="76"/>
      <c r="C8" s="73"/>
      <c r="D8" s="75"/>
      <c r="E8" s="74"/>
      <c r="F8" s="43"/>
      <c r="G8" s="55"/>
      <c r="H8" s="55"/>
      <c r="I8" s="55"/>
      <c r="J8" s="55"/>
      <c r="K8" s="55"/>
      <c r="L8" s="55"/>
      <c r="M8" s="2"/>
      <c r="N8" s="2"/>
      <c r="O8" s="2"/>
      <c r="P8" s="2"/>
      <c r="Q8" s="2"/>
      <c r="R8" s="2"/>
      <c r="S8" s="2"/>
      <c r="T8" s="2"/>
      <c r="U8" s="2"/>
      <c r="V8" s="2"/>
      <c r="W8" s="2"/>
      <c r="X8" s="2"/>
      <c r="Y8" s="2"/>
      <c r="Z8" s="2"/>
      <c r="AA8" s="2"/>
    </row>
    <row r="9" spans="1:29" ht="16.5" customHeight="1" x14ac:dyDescent="0.2">
      <c r="A9" s="77" t="s">
        <v>53</v>
      </c>
      <c r="B9" s="78"/>
      <c r="C9" s="485">
        <f>+'ESTIMATION PERSONNELL'!Q13</f>
        <v>7000</v>
      </c>
      <c r="D9" s="79" t="s">
        <v>52</v>
      </c>
      <c r="E9" s="80"/>
      <c r="F9" s="81"/>
      <c r="G9" s="55"/>
      <c r="H9" s="55"/>
      <c r="I9" s="55"/>
      <c r="J9" s="55"/>
      <c r="K9" s="55"/>
      <c r="L9" s="55"/>
      <c r="M9" s="2"/>
      <c r="N9" s="2"/>
      <c r="O9" s="2"/>
      <c r="P9" s="2"/>
      <c r="Q9" s="2"/>
      <c r="R9" s="2"/>
      <c r="S9" s="2"/>
      <c r="T9" s="2"/>
      <c r="U9" s="2"/>
      <c r="V9" s="2"/>
      <c r="W9" s="2"/>
      <c r="X9" s="2"/>
      <c r="Y9" s="2"/>
      <c r="Z9" s="2"/>
      <c r="AA9" s="2"/>
    </row>
    <row r="10" spans="1:29" ht="7.5" customHeight="1" x14ac:dyDescent="0.2">
      <c r="A10" s="53"/>
      <c r="B10" s="54"/>
      <c r="C10" s="55"/>
      <c r="D10" s="56"/>
      <c r="E10" s="55"/>
      <c r="F10" s="55"/>
      <c r="G10" s="55"/>
      <c r="H10" s="55"/>
      <c r="I10" s="55"/>
      <c r="J10" s="55"/>
      <c r="K10" s="55"/>
      <c r="L10" s="55"/>
      <c r="M10" s="2"/>
      <c r="N10" s="2"/>
      <c r="O10" s="2"/>
      <c r="P10" s="2"/>
      <c r="Q10" s="2"/>
      <c r="R10" s="2"/>
      <c r="S10" s="2"/>
      <c r="T10" s="2"/>
      <c r="U10" s="2"/>
      <c r="V10" s="2"/>
      <c r="W10" s="2"/>
      <c r="X10" s="2"/>
      <c r="Y10" s="2"/>
      <c r="Z10" s="2"/>
      <c r="AA10" s="2"/>
    </row>
    <row r="11" spans="1:29" ht="22.5" customHeight="1" x14ac:dyDescent="0.2">
      <c r="A11" s="9" t="s">
        <v>0</v>
      </c>
      <c r="B11" s="10"/>
      <c r="C11" s="443">
        <v>2018</v>
      </c>
      <c r="D11" s="444"/>
      <c r="E11" s="445">
        <v>2019</v>
      </c>
      <c r="F11" s="446"/>
      <c r="G11" s="445">
        <v>2020</v>
      </c>
      <c r="H11" s="446"/>
      <c r="I11" s="445">
        <v>2021</v>
      </c>
      <c r="J11" s="446"/>
      <c r="K11" s="443">
        <v>2022</v>
      </c>
      <c r="L11" s="444"/>
      <c r="M11" s="98"/>
      <c r="N11" s="31"/>
      <c r="O11" s="30"/>
      <c r="P11" s="31"/>
      <c r="Q11" s="30"/>
      <c r="R11" s="31"/>
      <c r="S11" s="30"/>
      <c r="T11" s="21"/>
      <c r="U11" s="22"/>
      <c r="V11" s="21"/>
      <c r="W11" s="22"/>
      <c r="X11" s="21"/>
      <c r="Y11" s="22"/>
      <c r="Z11" s="21"/>
      <c r="AA11" s="22"/>
      <c r="AB11" s="21"/>
    </row>
    <row r="12" spans="1:29" ht="21" customHeight="1" x14ac:dyDescent="0.2">
      <c r="A12" s="6" t="s">
        <v>5</v>
      </c>
      <c r="B12" s="12"/>
      <c r="C12" s="454"/>
      <c r="D12" s="455"/>
      <c r="E12" s="454"/>
      <c r="F12" s="455"/>
      <c r="G12" s="454"/>
      <c r="H12" s="455"/>
      <c r="I12" s="454"/>
      <c r="J12" s="455"/>
      <c r="K12" s="454"/>
      <c r="L12" s="455"/>
      <c r="M12" s="51"/>
      <c r="N12" s="52"/>
      <c r="O12" s="51"/>
      <c r="P12" s="52"/>
      <c r="Q12" s="51"/>
      <c r="R12" s="52"/>
      <c r="S12" s="51"/>
      <c r="T12" s="65"/>
      <c r="U12" s="66"/>
      <c r="V12" s="65"/>
      <c r="W12" s="66"/>
      <c r="X12" s="65"/>
      <c r="Y12" s="66"/>
      <c r="Z12" s="65"/>
      <c r="AA12" s="66"/>
      <c r="AB12" s="65"/>
    </row>
    <row r="13" spans="1:29" ht="22.5" customHeight="1" x14ac:dyDescent="0.2">
      <c r="A13" s="3" t="s">
        <v>2</v>
      </c>
      <c r="B13" s="13"/>
      <c r="C13" s="456">
        <f>('ESTIMATION PERSONNELL'!C8/12*3)+(('ESTIMATION PERSONNELL'!C8/120)*'ESTIMATION PERSONNELL'!C7)</f>
        <v>0</v>
      </c>
      <c r="D13" s="457"/>
      <c r="E13" s="456">
        <f>C13</f>
        <v>0</v>
      </c>
      <c r="F13" s="457"/>
      <c r="G13" s="456">
        <f>E13</f>
        <v>0</v>
      </c>
      <c r="H13" s="457"/>
      <c r="I13" s="456">
        <f>G13</f>
        <v>0</v>
      </c>
      <c r="J13" s="457"/>
      <c r="K13" s="456">
        <f>I13</f>
        <v>0</v>
      </c>
      <c r="L13" s="457"/>
      <c r="M13" s="51"/>
      <c r="N13" s="52"/>
      <c r="O13" s="51"/>
      <c r="P13" s="52"/>
      <c r="Q13" s="51"/>
      <c r="R13" s="52"/>
      <c r="S13" s="51"/>
      <c r="T13" s="65"/>
      <c r="U13" s="66"/>
      <c r="V13" s="65"/>
      <c r="W13" s="66"/>
      <c r="X13" s="65"/>
      <c r="Y13" s="66"/>
      <c r="Z13" s="65"/>
      <c r="AA13" s="66"/>
      <c r="AB13" s="65"/>
    </row>
    <row r="14" spans="1:29" ht="22.5" customHeight="1" x14ac:dyDescent="0.2">
      <c r="A14" s="3" t="s">
        <v>1</v>
      </c>
      <c r="B14" s="13"/>
      <c r="C14" s="458">
        <f>IF('ESTIMATION PERSONNELL'!$L$4="",8%*98.25%,20%)</f>
        <v>7.8600000000000003E-2</v>
      </c>
      <c r="D14" s="459"/>
      <c r="E14" s="458">
        <f>IF('ESTIMATION PERSONNELL'!$L$4="",8%*98.25%,20%)</f>
        <v>7.8600000000000003E-2</v>
      </c>
      <c r="F14" s="459"/>
      <c r="G14" s="458">
        <f>IF('ESTIMATION PERSONNELL'!$L$4="",8%*98.25%,20%)</f>
        <v>7.8600000000000003E-2</v>
      </c>
      <c r="H14" s="459"/>
      <c r="I14" s="458">
        <f>IF('ESTIMATION PERSONNELL'!$L$4="",8%*98.25%,20%)</f>
        <v>7.8600000000000003E-2</v>
      </c>
      <c r="J14" s="459"/>
      <c r="K14" s="458">
        <f>IF('ESTIMATION PERSONNELL'!$L$4="",8%*98.25%,20%)</f>
        <v>7.8600000000000003E-2</v>
      </c>
      <c r="L14" s="459"/>
      <c r="M14" s="439" t="e">
        <f>#REF!-(#REF!*#REF!)</f>
        <v>#REF!</v>
      </c>
      <c r="N14" s="440"/>
      <c r="O14" s="439" t="e">
        <f>#REF!-(#REF!*#REF!)</f>
        <v>#REF!</v>
      </c>
      <c r="P14" s="440"/>
      <c r="Q14" s="439" t="e">
        <f>#REF!-(#REF!*#REF!)</f>
        <v>#REF!</v>
      </c>
      <c r="R14" s="440"/>
      <c r="S14" s="439" t="e">
        <f>#REF!-(#REF!*#REF!)</f>
        <v>#REF!</v>
      </c>
      <c r="T14" s="440"/>
      <c r="U14" s="439" t="e">
        <f>#REF!-(#REF!*#REF!)</f>
        <v>#REF!</v>
      </c>
      <c r="V14" s="440"/>
      <c r="W14" s="439" t="e">
        <f>#REF!-(#REF!*#REF!)</f>
        <v>#REF!</v>
      </c>
      <c r="X14" s="440"/>
      <c r="Y14" s="439" t="e">
        <f>#REF!-(#REF!*#REF!)</f>
        <v>#REF!</v>
      </c>
      <c r="Z14" s="440"/>
      <c r="AA14" s="439" t="e">
        <f>#REF!-(#REF!*#REF!)</f>
        <v>#REF!</v>
      </c>
      <c r="AB14" s="440"/>
    </row>
    <row r="15" spans="1:29" ht="22.5" customHeight="1" x14ac:dyDescent="0.2">
      <c r="A15" s="5" t="s">
        <v>39</v>
      </c>
      <c r="B15" s="15"/>
      <c r="C15" s="460">
        <f>C13-(C13*C14)</f>
        <v>0</v>
      </c>
      <c r="D15" s="461"/>
      <c r="E15" s="460">
        <f>E13-(E13*E14)</f>
        <v>0</v>
      </c>
      <c r="F15" s="461"/>
      <c r="G15" s="460">
        <f>G13-(G13*G14)</f>
        <v>0</v>
      </c>
      <c r="H15" s="461"/>
      <c r="I15" s="460">
        <f>I13-(I13*I14)</f>
        <v>0</v>
      </c>
      <c r="J15" s="461"/>
      <c r="K15" s="460">
        <f>K13-(K13*K14)</f>
        <v>0</v>
      </c>
      <c r="L15" s="461"/>
      <c r="M15" s="44"/>
      <c r="N15" s="67"/>
      <c r="O15" s="44"/>
      <c r="P15" s="67"/>
      <c r="Q15" s="44"/>
      <c r="R15" s="67"/>
      <c r="S15" s="44"/>
      <c r="T15" s="67"/>
      <c r="U15" s="44"/>
      <c r="V15" s="67"/>
      <c r="W15" s="44"/>
      <c r="X15" s="67"/>
      <c r="Y15" s="44"/>
      <c r="Z15" s="67"/>
      <c r="AA15" s="44"/>
      <c r="AB15" s="45"/>
    </row>
    <row r="16" spans="1:29" ht="22.5" customHeight="1" x14ac:dyDescent="0.2">
      <c r="A16" s="50" t="s">
        <v>40</v>
      </c>
      <c r="B16" s="14"/>
      <c r="C16" s="458">
        <v>0.7</v>
      </c>
      <c r="D16" s="459"/>
      <c r="E16" s="458">
        <v>0.6</v>
      </c>
      <c r="F16" s="459"/>
      <c r="G16" s="458">
        <v>0.5</v>
      </c>
      <c r="H16" s="459"/>
      <c r="I16" s="458">
        <v>0.4</v>
      </c>
      <c r="J16" s="459"/>
      <c r="K16" s="458">
        <v>0</v>
      </c>
      <c r="L16" s="459"/>
      <c r="M16" s="44" t="e">
        <f>((#REF!-(#REF!*#REF!))+((#REF!-(#REF!*#REF!))+((#REF!-(#REF!*#REF!))+((#REF!-(#REF!*#REF!))+((#REF!-(#REF!*#REF!)))))))</f>
        <v>#REF!</v>
      </c>
      <c r="N16" s="44" t="e">
        <f>((#REF!-(#REF!*#REF!))+((#REF!-(#REF!*#REF!))+((#REF!-(#REF!*#REF!))+((#REF!-(#REF!*#REF!))+((#REF!-(#REF!*#REF!)))))))</f>
        <v>#REF!</v>
      </c>
      <c r="O16" s="44" t="e">
        <f>((#REF!-(#REF!*#REF!))+((#REF!-(#REF!*#REF!))+((#REF!-(#REF!*#REF!))+((#REF!-(#REF!*#REF!))+((#REF!-(#REF!*#REF!)))))))</f>
        <v>#REF!</v>
      </c>
      <c r="P16" s="44" t="e">
        <f>((#REF!-(#REF!*#REF!))+((#REF!-(#REF!*#REF!))+((#REF!-(#REF!*#REF!))+((#REF!-(#REF!*#REF!))+((#REF!-(#REF!*#REF!)))))))</f>
        <v>#REF!</v>
      </c>
      <c r="Q16" s="44" t="e">
        <f>((#REF!-(#REF!*#REF!))+((#REF!-(#REF!*#REF!))+((#REF!-(#REF!*#REF!))+((#REF!-(#REF!*#REF!))+((#REF!-(#REF!*#REF!)))))))</f>
        <v>#REF!</v>
      </c>
      <c r="R16" s="44" t="e">
        <f>((#REF!-(#REF!*#REF!))+((#REF!-(#REF!*#REF!))+((#REF!-(#REF!*#REF!))+((#REF!-(#REF!*#REF!))+((#REF!-(#REF!*#REF!)))))))</f>
        <v>#REF!</v>
      </c>
      <c r="S16" s="44" t="e">
        <f>((#REF!-(#REF!*#REF!))+((#REF!-(#REF!*#REF!))+((#REF!-(#REF!*#REF!))+((#REF!-(#REF!*#REF!))+((#REF!-(#REF!*#REF!)))))))</f>
        <v>#REF!</v>
      </c>
      <c r="T16" s="44" t="e">
        <f>((#REF!-(#REF!*#REF!))+((#REF!-(#REF!*#REF!))+((#REF!-(#REF!*#REF!))+((#REF!-(#REF!*#REF!))+((#REF!-(#REF!*#REF!)))))))</f>
        <v>#REF!</v>
      </c>
      <c r="U16" s="44" t="e">
        <f>((#REF!-(#REF!*#REF!))+((#REF!-(#REF!*#REF!))+((#REF!-(#REF!*#REF!))+((#REF!-(#REF!*#REF!))+((#REF!-(#REF!*#REF!)))))))</f>
        <v>#REF!</v>
      </c>
      <c r="V16" s="44" t="e">
        <f>((#REF!-(#REF!*#REF!))+((#REF!-(#REF!*#REF!))+((#REF!-(#REF!*#REF!))+((#REF!-(#REF!*#REF!))+((#REF!-(#REF!*#REF!)))))))</f>
        <v>#REF!</v>
      </c>
      <c r="W16" s="44" t="e">
        <f>((#REF!-(#REF!*#REF!))+((#REF!-(#REF!*#REF!))+((#REF!-(#REF!*#REF!))+((#REF!-(#REF!*#REF!))+((#REF!-(#REF!*#REF!)))))))</f>
        <v>#REF!</v>
      </c>
      <c r="X16" s="44" t="e">
        <f>((#REF!-(#REF!*#REF!))+((#REF!-(#REF!*#REF!))+((#REF!-(#REF!*#REF!))+((#REF!-(#REF!*#REF!))+((#REF!-(#REF!*#REF!)))))))</f>
        <v>#REF!</v>
      </c>
      <c r="Y16" s="44" t="e">
        <f>((#REF!-(#REF!*#REF!))+((#REF!-(#REF!*#REF!))+((#REF!-(#REF!*#REF!))+((#REF!-(#REF!*#REF!))+((#REF!-(#REF!*#REF!)))))))</f>
        <v>#REF!</v>
      </c>
      <c r="Z16" s="44" t="e">
        <f>((#REF!-(#REF!*#REF!))+((#REF!-(#REF!*#REF!))+((#REF!-(#REF!*#REF!))+((#REF!-(#REF!*#REF!))+((#REF!-(#REF!*#REF!)))))))</f>
        <v>#REF!</v>
      </c>
      <c r="AA16" s="44" t="e">
        <f>((#REF!-(#REF!*#REF!))+((#REF!-(#REF!*#REF!))+((#REF!-(#REF!*#REF!))+((#REF!-(#REF!*#REF!))+((#REF!-(#REF!*#REF!)))))))</f>
        <v>#REF!</v>
      </c>
      <c r="AB16" s="32" t="e">
        <f>((#REF!-(#REF!*#REF!))+((#REF!-(#REF!*#REF!))+((#REF!-(#REF!*#REF!))+((#REF!-(#REF!*#REF!))+((#REF!-(#REF!*#REF!)))))))</f>
        <v>#REF!</v>
      </c>
    </row>
    <row r="17" spans="1:29" ht="22.5" customHeight="1" x14ac:dyDescent="0.2">
      <c r="A17" s="5" t="s">
        <v>73</v>
      </c>
      <c r="B17" s="15"/>
      <c r="C17" s="456">
        <f>C13*C16</f>
        <v>0</v>
      </c>
      <c r="D17" s="457"/>
      <c r="E17" s="456">
        <f>E13*E16</f>
        <v>0</v>
      </c>
      <c r="F17" s="457"/>
      <c r="G17" s="456">
        <f>G13*G16</f>
        <v>0</v>
      </c>
      <c r="H17" s="457"/>
      <c r="I17" s="456">
        <f>I13*I16</f>
        <v>0</v>
      </c>
      <c r="J17" s="457"/>
      <c r="K17" s="456">
        <f>K13*K16</f>
        <v>0</v>
      </c>
      <c r="L17" s="457"/>
      <c r="M17" s="439" t="e">
        <f>'ESTIMATION PERSONNELL'!K25+(#REF!-(#REF!*#REF!))</f>
        <v>#REF!</v>
      </c>
      <c r="N17" s="440"/>
      <c r="O17" s="439" t="e">
        <f>M17+(#REF!-(#REF!*#REF!))</f>
        <v>#REF!</v>
      </c>
      <c r="P17" s="440"/>
      <c r="Q17" s="439" t="e">
        <f>O17+(#REF!-(#REF!*#REF!))</f>
        <v>#REF!</v>
      </c>
      <c r="R17" s="440"/>
      <c r="S17" s="439" t="e">
        <f>Q17+(#REF!-(#REF!*#REF!))</f>
        <v>#REF!</v>
      </c>
      <c r="T17" s="440"/>
      <c r="U17" s="439" t="e">
        <f>S17+(#REF!-(#REF!*#REF!))</f>
        <v>#REF!</v>
      </c>
      <c r="V17" s="440"/>
      <c r="W17" s="439" t="e">
        <f>U17+(#REF!-(#REF!*#REF!))</f>
        <v>#REF!</v>
      </c>
      <c r="X17" s="440"/>
      <c r="Y17" s="439" t="e">
        <f>W17+(#REF!-(#REF!*#REF!))</f>
        <v>#REF!</v>
      </c>
      <c r="Z17" s="440"/>
      <c r="AA17" s="439" t="e">
        <f>Y17+(#REF!-(#REF!*#REF!))</f>
        <v>#REF!</v>
      </c>
      <c r="AB17" s="440"/>
    </row>
    <row r="18" spans="1:29" ht="22.5" customHeight="1" x14ac:dyDescent="0.2">
      <c r="A18" s="3" t="s">
        <v>74</v>
      </c>
      <c r="B18" s="15"/>
      <c r="C18" s="456">
        <f>IF($B$5&gt;=30,$C$6/6,IF($B$5&gt;=20,$C$6/8,IF($B$5&gt;=15,$C$6/12,IF($B$5&gt;=10,$C$6/24,0))))</f>
        <v>0</v>
      </c>
      <c r="D18" s="457"/>
      <c r="E18" s="456">
        <f t="shared" ref="E18" si="0">IF($B$5&gt;=30,$C$6/6,IF($B$5&gt;=20,$C$6/8,IF($B$5&gt;=15,$C$6/12,IF($B$5&gt;=10,$C$6/24,0))))</f>
        <v>0</v>
      </c>
      <c r="F18" s="457"/>
      <c r="G18" s="456">
        <f t="shared" ref="G18" si="1">IF($B$5&gt;=30,$C$6/6,IF($B$5&gt;=20,$C$6/8,IF($B$5&gt;=15,$C$6/12,IF($B$5&gt;=10,$C$6/24,0))))</f>
        <v>0</v>
      </c>
      <c r="H18" s="457"/>
      <c r="I18" s="456">
        <f t="shared" ref="I18" si="2">IF($B$5&gt;=30,$C$6/6,IF($B$5&gt;=20,$C$6/8,IF($B$5&gt;=15,$C$6/12,IF($B$5&gt;=10,$C$6/24,0))))</f>
        <v>0</v>
      </c>
      <c r="J18" s="457"/>
      <c r="K18" s="456">
        <f t="shared" ref="K18" si="3">IF($B$5&gt;=30,$C$6/6,IF($B$5&gt;=20,$C$6/8,IF($B$5&gt;=15,$C$6/12,IF($B$5&gt;=10,$C$6/24,0))))</f>
        <v>0</v>
      </c>
      <c r="L18" s="457"/>
      <c r="M18" s="125"/>
      <c r="N18" s="126"/>
      <c r="O18" s="125"/>
      <c r="P18" s="126"/>
      <c r="Q18" s="125"/>
      <c r="R18" s="126"/>
      <c r="S18" s="125"/>
      <c r="T18" s="126"/>
      <c r="U18" s="125"/>
      <c r="V18" s="126"/>
      <c r="W18" s="125"/>
      <c r="X18" s="126"/>
      <c r="Y18" s="125"/>
      <c r="Z18" s="126"/>
      <c r="AA18" s="125"/>
      <c r="AB18" s="126"/>
      <c r="AC18" s="39"/>
    </row>
    <row r="19" spans="1:29" ht="22.5" customHeight="1" x14ac:dyDescent="0.2">
      <c r="A19" s="129" t="s">
        <v>99</v>
      </c>
      <c r="B19" s="15"/>
      <c r="C19" s="462">
        <f>IF($B$5&gt;=30,2,IF($B$5&gt;=20,1.5,IF($B$5&gt;=15,12/12,IF($B$5&gt;=10,12/24,0))))</f>
        <v>0</v>
      </c>
      <c r="D19" s="463"/>
      <c r="E19" s="462">
        <f t="shared" ref="E19" si="4">IF($B$5&gt;=30,2,IF($B$5&gt;=20,1.5,IF($B$5&gt;=15,12/12,IF($B$5&gt;=10,12/24,0))))</f>
        <v>0</v>
      </c>
      <c r="F19" s="463"/>
      <c r="G19" s="462">
        <f t="shared" ref="G19" si="5">IF($B$5&gt;=30,2,IF($B$5&gt;=20,1.5,IF($B$5&gt;=15,12/12,IF($B$5&gt;=10,12/24,0))))</f>
        <v>0</v>
      </c>
      <c r="H19" s="463"/>
      <c r="I19" s="462">
        <f t="shared" ref="I19" si="6">IF($B$5&gt;=30,2,IF($B$5&gt;=20,1.5,IF($B$5&gt;=15,12/12,IF($B$5&gt;=10,12/24,0))))</f>
        <v>0</v>
      </c>
      <c r="J19" s="463"/>
      <c r="K19" s="462">
        <f t="shared" ref="K19" si="7">IF($B$5&gt;=30,2,IF($B$5&gt;=20,1.5,IF($B$5&gt;=15,12/12,IF($B$5&gt;=10,12/24,0))))</f>
        <v>0</v>
      </c>
      <c r="L19" s="463"/>
      <c r="M19" s="125"/>
      <c r="N19" s="126"/>
      <c r="O19" s="125"/>
      <c r="P19" s="126"/>
      <c r="Q19" s="125"/>
      <c r="R19" s="126"/>
      <c r="S19" s="125"/>
      <c r="T19" s="126"/>
      <c r="U19" s="125"/>
      <c r="V19" s="126"/>
      <c r="W19" s="125"/>
      <c r="X19" s="126"/>
      <c r="Y19" s="125"/>
      <c r="Z19" s="126"/>
      <c r="AA19" s="125"/>
      <c r="AB19" s="126"/>
    </row>
    <row r="20" spans="1:29" ht="22.5" customHeight="1" x14ac:dyDescent="0.2">
      <c r="A20" s="50" t="s">
        <v>41</v>
      </c>
      <c r="B20" s="16"/>
      <c r="C20" s="456">
        <f>IF(C18&gt;C17,C18,C17)</f>
        <v>0</v>
      </c>
      <c r="D20" s="457"/>
      <c r="E20" s="456">
        <f t="shared" ref="E20" si="8">IF(E18&gt;E17,E18,E17)</f>
        <v>0</v>
      </c>
      <c r="F20" s="457"/>
      <c r="G20" s="456">
        <f t="shared" ref="G20" si="9">IF(G18&gt;G17,G18,G17)</f>
        <v>0</v>
      </c>
      <c r="H20" s="457"/>
      <c r="I20" s="456">
        <f t="shared" ref="I20" si="10">IF(I18&gt;I17,I18,I17)</f>
        <v>0</v>
      </c>
      <c r="J20" s="457"/>
      <c r="K20" s="456">
        <f t="shared" ref="K20" si="11">IF(K18&gt;K17,K18,K17)</f>
        <v>0</v>
      </c>
      <c r="L20" s="457"/>
      <c r="M20" s="437" t="e">
        <f>(#REF!-(#REF!*#REF!))+(#REF!-(#REF!*#REF!))+(#REF!-(#REF!*#REF!))+(#REF!-(#REF!*#REF!))+(#REF!-(#REF!*#REF!))</f>
        <v>#REF!</v>
      </c>
      <c r="N20" s="438"/>
      <c r="O20" s="437" t="e">
        <f>(#REF!-(#REF!*#REF!))+(#REF!-(#REF!*#REF!))+(#REF!-(#REF!*#REF!))+(#REF!-(#REF!*#REF!))+(#REF!-(#REF!*#REF!))</f>
        <v>#REF!</v>
      </c>
      <c r="P20" s="438"/>
      <c r="Q20" s="437" t="e">
        <f>(#REF!-(#REF!*#REF!))+(#REF!-(#REF!*#REF!))+(#REF!-(#REF!*#REF!))+(#REF!-(#REF!*#REF!))+(#REF!-(#REF!*#REF!))</f>
        <v>#REF!</v>
      </c>
      <c r="R20" s="438"/>
      <c r="S20" s="437" t="e">
        <f>(#REF!-(#REF!*#REF!))+(#REF!-(#REF!*#REF!))+(#REF!-(#REF!*#REF!))+(#REF!-(#REF!*#REF!))+(#REF!-(#REF!*#REF!))</f>
        <v>#REF!</v>
      </c>
      <c r="T20" s="438"/>
      <c r="U20" s="437" t="e">
        <f>(#REF!-(#REF!*#REF!))+(#REF!-(#REF!*#REF!))+(#REF!-(#REF!*#REF!))+(#REF!-(#REF!*#REF!))+(#REF!-(#REF!*#REF!))</f>
        <v>#REF!</v>
      </c>
      <c r="V20" s="438"/>
      <c r="W20" s="437" t="e">
        <f>(#REF!-(#REF!*#REF!))+(#REF!-(#REF!*#REF!))+(#REF!-(#REF!*#REF!))+(#REF!-(#REF!*#REF!))+(#REF!-(#REF!*#REF!))</f>
        <v>#REF!</v>
      </c>
      <c r="X20" s="438"/>
      <c r="Y20" s="437" t="e">
        <f>(#REF!-(#REF!*#REF!))+(#REF!-(#REF!*#REF!))+(#REF!-(#REF!*#REF!))+(#REF!-(#REF!*#REF!))+(#REF!-(#REF!*#REF!))</f>
        <v>#REF!</v>
      </c>
      <c r="Z20" s="438"/>
      <c r="AA20" s="437" t="e">
        <f>(#REF!-(#REF!*#REF!))+(#REF!-(#REF!*#REF!))+(#REF!-(#REF!*#REF!))+(#REF!-(#REF!*#REF!))+(#REF!-(#REF!*#REF!))</f>
        <v>#REF!</v>
      </c>
      <c r="AB20" s="438"/>
    </row>
    <row r="21" spans="1:29" ht="22.5" customHeight="1" x14ac:dyDescent="0.2">
      <c r="A21" s="50" t="s">
        <v>93</v>
      </c>
      <c r="B21" s="16"/>
      <c r="C21" s="456">
        <f>C20-(C20*C14)</f>
        <v>0</v>
      </c>
      <c r="D21" s="457"/>
      <c r="E21" s="456">
        <f t="shared" ref="E21" si="12">E20-(E20*E14)</f>
        <v>0</v>
      </c>
      <c r="F21" s="457"/>
      <c r="G21" s="456">
        <f t="shared" ref="G21" si="13">G20-(G20*G14)</f>
        <v>0</v>
      </c>
      <c r="H21" s="457"/>
      <c r="I21" s="456">
        <f t="shared" ref="I21" si="14">I20-(I20*I14)</f>
        <v>0</v>
      </c>
      <c r="J21" s="457"/>
      <c r="K21" s="456">
        <f t="shared" ref="K21" si="15">K20-(K20*K14)</f>
        <v>0</v>
      </c>
      <c r="L21" s="457"/>
      <c r="M21" s="48"/>
      <c r="N21" s="49"/>
      <c r="O21" s="48"/>
      <c r="P21" s="49"/>
      <c r="Q21" s="48"/>
      <c r="R21" s="49"/>
      <c r="S21" s="48"/>
      <c r="T21" s="49"/>
      <c r="U21" s="48"/>
      <c r="V21" s="49"/>
      <c r="W21" s="48"/>
      <c r="X21" s="49"/>
      <c r="Y21" s="48"/>
      <c r="Z21" s="49"/>
      <c r="AA21" s="48"/>
      <c r="AB21" s="49"/>
    </row>
    <row r="22" spans="1:29" ht="22.5" customHeight="1" x14ac:dyDescent="0.2">
      <c r="A22" s="27" t="s">
        <v>14</v>
      </c>
      <c r="B22" s="28"/>
      <c r="C22" s="464">
        <f>(C13-C20)*-1</f>
        <v>0</v>
      </c>
      <c r="D22" s="465"/>
      <c r="E22" s="464">
        <f>(E13-E20)*-1</f>
        <v>0</v>
      </c>
      <c r="F22" s="465"/>
      <c r="G22" s="464">
        <f>(G13-G20)*-1</f>
        <v>0</v>
      </c>
      <c r="H22" s="465"/>
      <c r="I22" s="464">
        <f>(I13-I20)*-1</f>
        <v>0</v>
      </c>
      <c r="J22" s="465"/>
      <c r="K22" s="464">
        <f>(K13-K20)*-1</f>
        <v>0</v>
      </c>
      <c r="L22" s="465"/>
      <c r="M22" s="46"/>
      <c r="N22" s="47"/>
      <c r="O22" s="46"/>
      <c r="P22" s="47"/>
      <c r="Q22" s="46"/>
      <c r="R22" s="47"/>
      <c r="S22" s="46"/>
      <c r="T22" s="47"/>
      <c r="U22" s="46"/>
      <c r="V22" s="47"/>
      <c r="W22" s="46"/>
      <c r="X22" s="47"/>
      <c r="Y22" s="46"/>
      <c r="Z22" s="47"/>
      <c r="AA22" s="46"/>
      <c r="AB22" s="47"/>
    </row>
    <row r="23" spans="1:29" ht="24.75" customHeight="1" x14ac:dyDescent="0.2">
      <c r="A23" s="6" t="s">
        <v>6</v>
      </c>
      <c r="B23" s="12"/>
      <c r="C23" s="466"/>
      <c r="D23" s="467"/>
      <c r="E23" s="468"/>
      <c r="F23" s="469"/>
      <c r="G23" s="468"/>
      <c r="H23" s="469"/>
      <c r="I23" s="468"/>
      <c r="J23" s="469"/>
      <c r="K23" s="468"/>
      <c r="L23" s="469"/>
      <c r="M23" s="33" t="e">
        <f>M14+M16+M17+M20+#REF!</f>
        <v>#REF!</v>
      </c>
      <c r="N23" s="34" t="e">
        <f>M14+N16+M17+M20+#REF!</f>
        <v>#REF!</v>
      </c>
      <c r="O23" s="33" t="e">
        <f>O14+O16+O17+O20+#REF!</f>
        <v>#REF!</v>
      </c>
      <c r="P23" s="34" t="e">
        <f>O14+P16+O17+O20+#REF!</f>
        <v>#REF!</v>
      </c>
      <c r="Q23" s="33" t="e">
        <f>Q14+Q16+Q17+Q20+#REF!</f>
        <v>#REF!</v>
      </c>
      <c r="R23" s="34" t="e">
        <f>Q14+R16+Q17+Q20+#REF!</f>
        <v>#REF!</v>
      </c>
      <c r="S23" s="33" t="e">
        <f>S14+S16+S17+S20+#REF!</f>
        <v>#REF!</v>
      </c>
      <c r="T23" s="34" t="e">
        <f>S14+T16+S17+S20+#REF!</f>
        <v>#REF!</v>
      </c>
      <c r="U23" s="33" t="e">
        <f>U14+U16+U17+U20+#REF!</f>
        <v>#REF!</v>
      </c>
      <c r="V23" s="34" t="e">
        <f>U14+V16+U17+U20+#REF!</f>
        <v>#REF!</v>
      </c>
      <c r="W23" s="33" t="e">
        <f>W14+W16+W17+W20+#REF!</f>
        <v>#REF!</v>
      </c>
      <c r="X23" s="34" t="e">
        <f>W14+X16+W17+W20+#REF!</f>
        <v>#REF!</v>
      </c>
      <c r="Y23" s="33" t="e">
        <f>Y14+Y16+Y17+Y20+#REF!</f>
        <v>#REF!</v>
      </c>
      <c r="Z23" s="34" t="e">
        <f>Y14+Z16+Y17+Y20+#REF!</f>
        <v>#REF!</v>
      </c>
      <c r="AA23" s="33" t="e">
        <f>AA14+AA16+AA17+AA20+#REF!</f>
        <v>#REF!</v>
      </c>
      <c r="AB23" s="34" t="e">
        <f>AA14+AB16+AA17+AA20+#REF!</f>
        <v>#REF!</v>
      </c>
    </row>
    <row r="24" spans="1:29" ht="37.5" hidden="1" customHeight="1" x14ac:dyDescent="0.2">
      <c r="A24" s="4" t="s">
        <v>75</v>
      </c>
      <c r="B24" s="14"/>
      <c r="C24" s="470">
        <f>7000-'ESTIMATION PERSONNELL'!$Q$11</f>
        <v>7000</v>
      </c>
      <c r="D24" s="471"/>
      <c r="E24" s="470">
        <f>7000-'ESTIMATION PERSONNELL'!$Q$11</f>
        <v>7000</v>
      </c>
      <c r="F24" s="471"/>
      <c r="G24" s="470">
        <f>7000-'ESTIMATION PERSONNELL'!$Q$11</f>
        <v>7000</v>
      </c>
      <c r="H24" s="471"/>
      <c r="I24" s="470">
        <f>7000-'ESTIMATION PERSONNELL'!$Q$11</f>
        <v>7000</v>
      </c>
      <c r="J24" s="471"/>
      <c r="K24" s="470">
        <f>7000-'ESTIMATION PERSONNELL'!$Q$11</f>
        <v>7000</v>
      </c>
      <c r="L24" s="471"/>
      <c r="M24" s="35" t="e">
        <f>(#REF!-M23)*-1</f>
        <v>#REF!</v>
      </c>
      <c r="N24" s="35" t="e">
        <f>(#REF!-N23)*-1</f>
        <v>#REF!</v>
      </c>
      <c r="O24" s="35" t="e">
        <f>(#REF!-O23)*-1</f>
        <v>#REF!</v>
      </c>
      <c r="P24" s="35" t="e">
        <f>(#REF!-P23)*-1</f>
        <v>#REF!</v>
      </c>
      <c r="Q24" s="35" t="e">
        <f>(#REF!-Q23)*-1</f>
        <v>#REF!</v>
      </c>
      <c r="R24" s="35" t="e">
        <f>(#REF!-R23)*-1</f>
        <v>#REF!</v>
      </c>
      <c r="S24" s="35" t="e">
        <f>(#REF!-S23)*-1</f>
        <v>#REF!</v>
      </c>
      <c r="T24" s="35" t="e">
        <f>(#REF!-T23)*-1</f>
        <v>#REF!</v>
      </c>
      <c r="U24" s="35" t="e">
        <f>(#REF!-U23)*-1</f>
        <v>#REF!</v>
      </c>
      <c r="V24" s="35" t="e">
        <f>(#REF!-V23)*-1</f>
        <v>#REF!</v>
      </c>
      <c r="W24" s="35" t="e">
        <f>(#REF!-W23)*-1</f>
        <v>#REF!</v>
      </c>
      <c r="X24" s="35" t="e">
        <f>(#REF!-X23)*-1</f>
        <v>#REF!</v>
      </c>
      <c r="Y24" s="35" t="e">
        <f>(#REF!-Y23)*-1</f>
        <v>#REF!</v>
      </c>
      <c r="Z24" s="35" t="e">
        <f>(#REF!-Z23)*-1</f>
        <v>#REF!</v>
      </c>
      <c r="AA24" s="35" t="e">
        <f>(#REF!-AA23)*-1</f>
        <v>#REF!</v>
      </c>
      <c r="AB24" s="36" t="e">
        <f>(#REF!-AB23)*-1</f>
        <v>#REF!</v>
      </c>
    </row>
    <row r="25" spans="1:29" ht="24.75" customHeight="1" x14ac:dyDescent="0.2">
      <c r="A25" s="50" t="s">
        <v>44</v>
      </c>
      <c r="B25" s="16"/>
      <c r="C25" s="472">
        <v>3400</v>
      </c>
      <c r="D25" s="473">
        <v>6276</v>
      </c>
      <c r="E25" s="474">
        <f>IF(E29&gt;0,3400-E29,3400)</f>
        <v>3400</v>
      </c>
      <c r="F25" s="475">
        <f>IF(E29&gt;0,6276-E29,6276)</f>
        <v>6276</v>
      </c>
      <c r="G25" s="474">
        <f>IF(G29&gt;0,3400-G29,3400)</f>
        <v>3400</v>
      </c>
      <c r="H25" s="475">
        <f>IF(G29&gt;0,6276-G29,6276)</f>
        <v>6276</v>
      </c>
      <c r="I25" s="474">
        <f>IF(I29&gt;0,3400-I29,3400)</f>
        <v>3400</v>
      </c>
      <c r="J25" s="475">
        <f>IF(I29&gt;0,6276-I29,6276)</f>
        <v>6276</v>
      </c>
      <c r="K25" s="474">
        <f>IF(K29&gt;0,3400-K29,3400)</f>
        <v>2950</v>
      </c>
      <c r="L25" s="475">
        <f>IF(K29&gt;0,6276-K29,6276)</f>
        <v>5826</v>
      </c>
      <c r="M25" s="37" t="e">
        <f>+M23/#REF!</f>
        <v>#REF!</v>
      </c>
      <c r="N25" s="37" t="e">
        <f>+N23/#REF!</f>
        <v>#REF!</v>
      </c>
      <c r="O25" s="37" t="e">
        <f>+O23/#REF!</f>
        <v>#REF!</v>
      </c>
      <c r="P25" s="37" t="e">
        <f>+P23/#REF!</f>
        <v>#REF!</v>
      </c>
      <c r="Q25" s="37" t="e">
        <f>+Q23/#REF!</f>
        <v>#REF!</v>
      </c>
      <c r="R25" s="37" t="e">
        <f>+R23/#REF!</f>
        <v>#REF!</v>
      </c>
      <c r="S25" s="37" t="e">
        <f>+S23/#REF!</f>
        <v>#REF!</v>
      </c>
      <c r="T25" s="37" t="e">
        <f>+T23/#REF!</f>
        <v>#REF!</v>
      </c>
      <c r="U25" s="37" t="e">
        <f>+U23/#REF!</f>
        <v>#REF!</v>
      </c>
      <c r="V25" s="37" t="e">
        <f>+V23/#REF!</f>
        <v>#REF!</v>
      </c>
      <c r="W25" s="37" t="e">
        <f>+W23/#REF!</f>
        <v>#REF!</v>
      </c>
      <c r="X25" s="37" t="e">
        <f>+X23/#REF!</f>
        <v>#REF!</v>
      </c>
      <c r="Y25" s="37" t="e">
        <f>+Y23/#REF!</f>
        <v>#REF!</v>
      </c>
      <c r="Z25" s="37" t="e">
        <f>+Z23/#REF!</f>
        <v>#REF!</v>
      </c>
      <c r="AA25" s="37" t="e">
        <f>+AA23/#REF!</f>
        <v>#REF!</v>
      </c>
      <c r="AB25" s="37" t="e">
        <f>+AB23/#REF!</f>
        <v>#REF!</v>
      </c>
    </row>
    <row r="26" spans="1:29" ht="24.75" customHeight="1" x14ac:dyDescent="0.2">
      <c r="A26" s="50" t="s">
        <v>3</v>
      </c>
      <c r="B26" s="16"/>
      <c r="C26" s="458">
        <v>0.08</v>
      </c>
      <c r="D26" s="459"/>
      <c r="E26" s="458">
        <f>C26</f>
        <v>0.08</v>
      </c>
      <c r="F26" s="459"/>
      <c r="G26" s="458">
        <f>E26</f>
        <v>0.08</v>
      </c>
      <c r="H26" s="459"/>
      <c r="I26" s="458">
        <f>G26</f>
        <v>0.08</v>
      </c>
      <c r="J26" s="459"/>
      <c r="K26" s="458">
        <f>I26</f>
        <v>0.08</v>
      </c>
      <c r="L26" s="459"/>
      <c r="M26" s="433" t="e">
        <f>IF(#REF!="oui",((#REF!*#REF!)-((#REF!*#REF!)*#REF!)),0)</f>
        <v>#REF!</v>
      </c>
      <c r="N26" s="434"/>
      <c r="O26" s="433" t="e">
        <f>IF(#REF!="oui",((#REF!*#REF!)-((#REF!*#REF!)*#REF!)),0)</f>
        <v>#REF!</v>
      </c>
      <c r="P26" s="434"/>
      <c r="Q26" s="433" t="e">
        <f>IF(#REF!="oui",((#REF!*#REF!)-((#REF!*#REF!)*#REF!)),0)</f>
        <v>#REF!</v>
      </c>
      <c r="R26" s="434"/>
      <c r="S26" s="433" t="e">
        <f>IF(#REF!="oui",((#REF!*#REF!)-((#REF!*#REF!)*#REF!)),0)</f>
        <v>#REF!</v>
      </c>
      <c r="T26" s="434"/>
      <c r="U26" s="433" t="e">
        <f>IF(#REF!="oui",((#REF!*#REF!)-((#REF!*#REF!)*#REF!)),0)</f>
        <v>#REF!</v>
      </c>
      <c r="V26" s="434"/>
      <c r="W26" s="433" t="e">
        <f>IF(#REF!="oui",((#REF!*#REF!)-((#REF!*#REF!)*#REF!)),0)</f>
        <v>#REF!</v>
      </c>
      <c r="X26" s="434"/>
      <c r="Y26" s="433" t="e">
        <f>IF(#REF!="oui",((#REF!*#REF!)-((#REF!*#REF!)*#REF!)),0)</f>
        <v>#REF!</v>
      </c>
      <c r="Z26" s="434"/>
      <c r="AA26" s="433" t="e">
        <f>IF(#REF!="oui",((#REF!*#REF!)-((#REF!*#REF!)*#REF!)),0)</f>
        <v>#REF!</v>
      </c>
      <c r="AB26" s="434"/>
    </row>
    <row r="27" spans="1:29" ht="24.75" customHeight="1" x14ac:dyDescent="0.2">
      <c r="A27" s="8" t="s">
        <v>12</v>
      </c>
      <c r="B27" s="17"/>
      <c r="C27" s="456">
        <v>1</v>
      </c>
      <c r="D27" s="457"/>
      <c r="E27" s="456">
        <f>C27+1</f>
        <v>2</v>
      </c>
      <c r="F27" s="457"/>
      <c r="G27" s="456">
        <f>E27+1</f>
        <v>3</v>
      </c>
      <c r="H27" s="457"/>
      <c r="I27" s="456">
        <f>G27+1</f>
        <v>4</v>
      </c>
      <c r="J27" s="457"/>
      <c r="K27" s="456">
        <f>I27+1</f>
        <v>5</v>
      </c>
      <c r="L27" s="457"/>
      <c r="M27" s="37" t="e">
        <f>(M23+M26)/#REF!</f>
        <v>#REF!</v>
      </c>
      <c r="N27" s="37" t="e">
        <f>(N23+M26)/#REF!</f>
        <v>#REF!</v>
      </c>
      <c r="O27" s="37" t="e">
        <f>(O23+O26)/#REF!</f>
        <v>#REF!</v>
      </c>
      <c r="P27" s="37" t="e">
        <f>(P23+O26)/#REF!</f>
        <v>#REF!</v>
      </c>
      <c r="Q27" s="37" t="e">
        <f>(Q23+Q26)/#REF!</f>
        <v>#REF!</v>
      </c>
      <c r="R27" s="37" t="e">
        <f>(R23+Q26)/#REF!</f>
        <v>#REF!</v>
      </c>
      <c r="S27" s="37" t="e">
        <f>(S23+S26)/#REF!</f>
        <v>#REF!</v>
      </c>
      <c r="T27" s="37" t="e">
        <f>(T23+S26)/#REF!</f>
        <v>#REF!</v>
      </c>
      <c r="U27" s="37" t="e">
        <f>(U23+U26)/#REF!</f>
        <v>#REF!</v>
      </c>
      <c r="V27" s="37" t="e">
        <f>(V23+U26)/#REF!</f>
        <v>#REF!</v>
      </c>
      <c r="W27" s="37" t="e">
        <f>(W23+W26)/#REF!</f>
        <v>#REF!</v>
      </c>
      <c r="X27" s="37" t="e">
        <f>(X23+W26)/#REF!</f>
        <v>#REF!</v>
      </c>
      <c r="Y27" s="37" t="e">
        <f>(Y23+Y26)/#REF!</f>
        <v>#REF!</v>
      </c>
      <c r="Z27" s="37" t="e">
        <f>(Z23+Y26)/#REF!</f>
        <v>#REF!</v>
      </c>
      <c r="AA27" s="37" t="e">
        <f>(AA23+AA26)/#REF!</f>
        <v>#REF!</v>
      </c>
      <c r="AB27" s="37" t="e">
        <f>(AB23+AA26)/#REF!</f>
        <v>#REF!</v>
      </c>
    </row>
    <row r="28" spans="1:29" ht="25.5" x14ac:dyDescent="0.2">
      <c r="A28" s="7" t="s">
        <v>76</v>
      </c>
      <c r="B28" s="18"/>
      <c r="C28" s="476"/>
      <c r="D28" s="477"/>
      <c r="E28" s="478"/>
      <c r="F28" s="479"/>
      <c r="G28" s="478"/>
      <c r="H28" s="479"/>
      <c r="I28" s="478"/>
      <c r="J28" s="479"/>
      <c r="K28" s="478"/>
      <c r="L28" s="479"/>
    </row>
    <row r="29" spans="1:29" x14ac:dyDescent="0.2">
      <c r="A29" s="23" t="s">
        <v>4</v>
      </c>
      <c r="B29" s="16"/>
      <c r="C29" s="456">
        <v>0</v>
      </c>
      <c r="D29" s="457"/>
      <c r="E29" s="456">
        <f>C29</f>
        <v>0</v>
      </c>
      <c r="F29" s="457"/>
      <c r="G29" s="456">
        <f>E29</f>
        <v>0</v>
      </c>
      <c r="H29" s="457"/>
      <c r="I29" s="456">
        <f>G29</f>
        <v>0</v>
      </c>
      <c r="J29" s="457"/>
      <c r="K29" s="456">
        <v>450</v>
      </c>
      <c r="L29" s="457"/>
    </row>
    <row r="30" spans="1:29" x14ac:dyDescent="0.2">
      <c r="A30" s="23" t="s">
        <v>9</v>
      </c>
      <c r="B30" s="16"/>
      <c r="C30" s="458">
        <f>C26</f>
        <v>0.08</v>
      </c>
      <c r="D30" s="459"/>
      <c r="E30" s="458">
        <f>E26</f>
        <v>0.08</v>
      </c>
      <c r="F30" s="459"/>
      <c r="G30" s="458">
        <f>G26</f>
        <v>0.08</v>
      </c>
      <c r="H30" s="459"/>
      <c r="I30" s="458">
        <f>I26</f>
        <v>0.08</v>
      </c>
      <c r="J30" s="459"/>
      <c r="K30" s="458">
        <f>K26</f>
        <v>0.08</v>
      </c>
      <c r="L30" s="459"/>
    </row>
    <row r="31" spans="1:29" x14ac:dyDescent="0.2">
      <c r="A31" s="24" t="s">
        <v>13</v>
      </c>
      <c r="B31" s="20"/>
      <c r="C31" s="456">
        <f>IF(C29=0,0,1)</f>
        <v>0</v>
      </c>
      <c r="D31" s="457"/>
      <c r="E31" s="456">
        <f>IF(E29=0,0,C31+1)</f>
        <v>0</v>
      </c>
      <c r="F31" s="457"/>
      <c r="G31" s="456">
        <f>IF(G29=0,0,E31+1)</f>
        <v>0</v>
      </c>
      <c r="H31" s="457"/>
      <c r="I31" s="456">
        <f>IF(I29=0,0,G31+1)</f>
        <v>0</v>
      </c>
      <c r="J31" s="457"/>
      <c r="K31" s="456">
        <f>IF(K29=0,0,I31+1)</f>
        <v>1</v>
      </c>
      <c r="L31" s="457"/>
    </row>
    <row r="32" spans="1:29" ht="25.5" x14ac:dyDescent="0.2">
      <c r="A32" s="7" t="s">
        <v>22</v>
      </c>
      <c r="B32" s="18"/>
      <c r="C32" s="476"/>
      <c r="D32" s="477"/>
      <c r="E32" s="476"/>
      <c r="F32" s="477"/>
      <c r="G32" s="476"/>
      <c r="H32" s="477"/>
      <c r="I32" s="476"/>
      <c r="J32" s="477"/>
      <c r="K32" s="476"/>
      <c r="L32" s="477"/>
    </row>
    <row r="33" spans="1:12" ht="25.5" x14ac:dyDescent="0.2">
      <c r="A33" s="23" t="s">
        <v>119</v>
      </c>
      <c r="B33" s="16"/>
      <c r="C33" s="456">
        <f>IF($B$5&gt;=15,1250,0)</f>
        <v>0</v>
      </c>
      <c r="D33" s="457"/>
      <c r="E33" s="456">
        <f t="shared" ref="E33" si="16">IF($B$5&gt;=15,1250,0)</f>
        <v>0</v>
      </c>
      <c r="F33" s="457"/>
      <c r="G33" s="456">
        <f t="shared" ref="G33" si="17">IF($B$5&gt;=15,1250,0)</f>
        <v>0</v>
      </c>
      <c r="H33" s="457"/>
      <c r="I33" s="456">
        <f t="shared" ref="I33" si="18">IF($B$5&gt;=15,1250,0)</f>
        <v>0</v>
      </c>
      <c r="J33" s="457"/>
      <c r="K33" s="456">
        <v>0</v>
      </c>
      <c r="L33" s="457"/>
    </row>
    <row r="34" spans="1:12" x14ac:dyDescent="0.2">
      <c r="A34" s="23" t="s">
        <v>8</v>
      </c>
      <c r="B34" s="16"/>
      <c r="C34" s="458">
        <f>IF('ESTIMATION PERSONNELL'!$L$4="",(8%*98.25%)+1%,22%)</f>
        <v>8.8599999999999998E-2</v>
      </c>
      <c r="D34" s="459"/>
      <c r="E34" s="458">
        <f>C34</f>
        <v>8.8599999999999998E-2</v>
      </c>
      <c r="F34" s="459"/>
      <c r="G34" s="458">
        <f>E34</f>
        <v>8.8599999999999998E-2</v>
      </c>
      <c r="H34" s="459"/>
      <c r="I34" s="458">
        <f>G34</f>
        <v>8.8599999999999998E-2</v>
      </c>
      <c r="J34" s="459"/>
      <c r="K34" s="458">
        <f>I34</f>
        <v>8.8599999999999998E-2</v>
      </c>
      <c r="L34" s="459"/>
    </row>
    <row r="35" spans="1:12" ht="25.5" x14ac:dyDescent="0.2">
      <c r="A35" s="23" t="s">
        <v>17</v>
      </c>
      <c r="B35" s="16"/>
      <c r="C35" s="456">
        <f>IF(C33=0,0,1)</f>
        <v>0</v>
      </c>
      <c r="D35" s="457"/>
      <c r="E35" s="456">
        <f>IF(E33=0,0,IF(C35=5,5,C35+1))</f>
        <v>0</v>
      </c>
      <c r="F35" s="457"/>
      <c r="G35" s="456">
        <f>IF(G33=0,0,IF(E35=5,5,E35+1))</f>
        <v>0</v>
      </c>
      <c r="H35" s="457"/>
      <c r="I35" s="456">
        <f>IF(I33=0,0,IF(G35=5,5,G35+1))</f>
        <v>0</v>
      </c>
      <c r="J35" s="457"/>
      <c r="K35" s="456">
        <v>3</v>
      </c>
      <c r="L35" s="457"/>
    </row>
    <row r="36" spans="1:12" ht="38.25" x14ac:dyDescent="0.2">
      <c r="A36" s="7" t="s">
        <v>84</v>
      </c>
      <c r="B36" s="18"/>
      <c r="C36" s="476"/>
      <c r="D36" s="477"/>
      <c r="E36" s="476"/>
      <c r="F36" s="477"/>
      <c r="G36" s="476"/>
      <c r="H36" s="477"/>
      <c r="I36" s="476"/>
      <c r="J36" s="477"/>
      <c r="K36" s="476"/>
      <c r="L36" s="477"/>
    </row>
    <row r="37" spans="1:12" ht="25.5" x14ac:dyDescent="0.2">
      <c r="A37" s="23" t="s">
        <v>120</v>
      </c>
      <c r="B37" s="16"/>
      <c r="C37" s="456">
        <f>IF(C33=0,0,IF('ESTIMATION PERSONNELL'!G7="",0,500))</f>
        <v>0</v>
      </c>
      <c r="D37" s="457"/>
      <c r="E37" s="456">
        <f>C37</f>
        <v>0</v>
      </c>
      <c r="F37" s="457"/>
      <c r="G37" s="456">
        <f>E37</f>
        <v>0</v>
      </c>
      <c r="H37" s="457"/>
      <c r="I37" s="456">
        <f>G37</f>
        <v>0</v>
      </c>
      <c r="J37" s="457"/>
      <c r="K37" s="456">
        <v>0</v>
      </c>
      <c r="L37" s="457"/>
    </row>
    <row r="38" spans="1:12" x14ac:dyDescent="0.2">
      <c r="A38" s="23" t="s">
        <v>8</v>
      </c>
      <c r="B38" s="16"/>
      <c r="C38" s="458">
        <f>IF('ESTIMATION PERSONNELL'!$L$4="",(8%*98.25%)+1%,22%)</f>
        <v>8.8599999999999998E-2</v>
      </c>
      <c r="D38" s="459"/>
      <c r="E38" s="458">
        <f>C38</f>
        <v>8.8599999999999998E-2</v>
      </c>
      <c r="F38" s="459"/>
      <c r="G38" s="458">
        <f>E38</f>
        <v>8.8599999999999998E-2</v>
      </c>
      <c r="H38" s="459"/>
      <c r="I38" s="458">
        <f>G38</f>
        <v>8.8599999999999998E-2</v>
      </c>
      <c r="J38" s="459"/>
      <c r="K38" s="458">
        <f>I38</f>
        <v>8.8599999999999998E-2</v>
      </c>
      <c r="L38" s="459"/>
    </row>
    <row r="39" spans="1:12" x14ac:dyDescent="0.2">
      <c r="A39" s="23" t="s">
        <v>7</v>
      </c>
      <c r="B39" s="16"/>
      <c r="C39" s="458">
        <v>0.13600000000000001</v>
      </c>
      <c r="D39" s="459"/>
      <c r="E39" s="458">
        <f>C39</f>
        <v>0.13600000000000001</v>
      </c>
      <c r="F39" s="459"/>
      <c r="G39" s="458">
        <f>E39</f>
        <v>0.13600000000000001</v>
      </c>
      <c r="H39" s="459"/>
      <c r="I39" s="458">
        <f>G39</f>
        <v>0.13600000000000001</v>
      </c>
      <c r="J39" s="459"/>
      <c r="K39" s="458">
        <f>I39</f>
        <v>0.13600000000000001</v>
      </c>
      <c r="L39" s="459"/>
    </row>
    <row r="40" spans="1:12" ht="25.5" x14ac:dyDescent="0.2">
      <c r="A40" s="23" t="s">
        <v>17</v>
      </c>
      <c r="B40" s="16"/>
      <c r="C40" s="456">
        <f>IF(C37=0,0,1)</f>
        <v>0</v>
      </c>
      <c r="D40" s="457"/>
      <c r="E40" s="456">
        <f>IF(E37=0,0,IF(C40=5,5,C40+1))</f>
        <v>0</v>
      </c>
      <c r="F40" s="457"/>
      <c r="G40" s="456">
        <f>IF(G37=0,0,IF(E40=5,5,E40+1))</f>
        <v>0</v>
      </c>
      <c r="H40" s="457"/>
      <c r="I40" s="456">
        <f>IF(I37=0,0,IF(G40=5,5,G40+1))</f>
        <v>0</v>
      </c>
      <c r="J40" s="457"/>
      <c r="K40" s="456">
        <v>3</v>
      </c>
      <c r="L40" s="457"/>
    </row>
    <row r="41" spans="1:12" ht="25.5" x14ac:dyDescent="0.2">
      <c r="A41" s="62" t="s">
        <v>117</v>
      </c>
      <c r="B41" s="57"/>
      <c r="C41" s="242"/>
      <c r="D41" s="243"/>
      <c r="E41" s="242"/>
      <c r="F41" s="243"/>
      <c r="G41" s="242"/>
      <c r="H41" s="243"/>
      <c r="I41" s="242"/>
      <c r="J41" s="243"/>
      <c r="K41" s="242"/>
      <c r="L41" s="243"/>
    </row>
    <row r="42" spans="1:12" hidden="1" x14ac:dyDescent="0.2">
      <c r="A42" s="60" t="s">
        <v>57</v>
      </c>
      <c r="B42" s="58"/>
      <c r="C42" s="456">
        <f>IF('ESTIMATION PERSONNELL'!$G$8="",0,'ESTIMATION PERSONNELL'!$C$8/(21.67*12))</f>
        <v>0</v>
      </c>
      <c r="D42" s="457"/>
      <c r="E42" s="456">
        <f>IF('ESTIMATION PERSONNELL'!$G$8="",0,'ESTIMATION PERSONNELL'!$C$8/(21.67*12))</f>
        <v>0</v>
      </c>
      <c r="F42" s="457"/>
      <c r="G42" s="456">
        <f>IF('ESTIMATION PERSONNELL'!$G$8="",0,'ESTIMATION PERSONNELL'!$C$8/(21.67*12))</f>
        <v>0</v>
      </c>
      <c r="H42" s="457"/>
      <c r="I42" s="456">
        <f>IF('ESTIMATION PERSONNELL'!$G$8="",0,'ESTIMATION PERSONNELL'!$C$8/(21.67*12))</f>
        <v>0</v>
      </c>
      <c r="J42" s="457"/>
      <c r="K42" s="456">
        <v>0</v>
      </c>
      <c r="L42" s="457"/>
    </row>
    <row r="43" spans="1:12" ht="16.5" hidden="1" customHeight="1" x14ac:dyDescent="0.2">
      <c r="A43" s="60" t="s">
        <v>15</v>
      </c>
      <c r="B43" s="58"/>
      <c r="C43" s="458">
        <f>C34</f>
        <v>8.8599999999999998E-2</v>
      </c>
      <c r="D43" s="459"/>
      <c r="E43" s="458">
        <f>E34</f>
        <v>8.8599999999999998E-2</v>
      </c>
      <c r="F43" s="459"/>
      <c r="G43" s="458">
        <f>G34</f>
        <v>8.8599999999999998E-2</v>
      </c>
      <c r="H43" s="459"/>
      <c r="I43" s="458">
        <f>I34</f>
        <v>8.8599999999999998E-2</v>
      </c>
      <c r="J43" s="459"/>
      <c r="K43" s="458">
        <f>K34</f>
        <v>8.8599999999999998E-2</v>
      </c>
      <c r="L43" s="459"/>
    </row>
    <row r="44" spans="1:12" hidden="1" x14ac:dyDescent="0.2">
      <c r="A44" s="60" t="s">
        <v>58</v>
      </c>
      <c r="B44" s="58"/>
      <c r="C44" s="456">
        <f>C42-(C42*C43)</f>
        <v>0</v>
      </c>
      <c r="D44" s="457"/>
      <c r="E44" s="456">
        <f>E42-(E42*E43)</f>
        <v>0</v>
      </c>
      <c r="F44" s="457"/>
      <c r="G44" s="456">
        <f>G42-(G42*G43)</f>
        <v>0</v>
      </c>
      <c r="H44" s="457"/>
      <c r="I44" s="456">
        <f>I42-(I42*I43)</f>
        <v>0</v>
      </c>
      <c r="J44" s="457"/>
      <c r="K44" s="456">
        <v>0</v>
      </c>
      <c r="L44" s="457"/>
    </row>
    <row r="45" spans="1:12" x14ac:dyDescent="0.2">
      <c r="A45" s="61" t="s">
        <v>16</v>
      </c>
      <c r="B45" s="59"/>
      <c r="C45" s="480">
        <f>'ESTIMATION PERSONNELL'!C38:D38</f>
        <v>0</v>
      </c>
      <c r="D45" s="481"/>
      <c r="E45" s="480">
        <f>'ESTIMATION PERSONNELL'!E38:F38</f>
        <v>0</v>
      </c>
      <c r="F45" s="481"/>
      <c r="G45" s="480">
        <f>'ESTIMATION PERSONNELL'!G38:H38</f>
        <v>0</v>
      </c>
      <c r="H45" s="481"/>
      <c r="I45" s="480">
        <f>'ESTIMATION PERSONNELL'!I38:J38</f>
        <v>0</v>
      </c>
      <c r="J45" s="481"/>
      <c r="K45" s="480">
        <v>0</v>
      </c>
      <c r="L45" s="481"/>
    </row>
  </sheetData>
  <sheetProtection algorithmName="SHA-512" hashValue="ZEWTKyL7EN2HcCJjtRzyRXsPKBtliCp/YCDNKADV4RFTf0eVcZez+rBZXzq4mMak8wLBksqtiv14sUzo5LsMCg==" saltValue="NrGpUvpx96pLa/WW9HTniw==" spinCount="100000" sheet="1" objects="1" scenarios="1"/>
  <mergeCells count="169">
    <mergeCell ref="C45:D45"/>
    <mergeCell ref="E45:F45"/>
    <mergeCell ref="G45:H45"/>
    <mergeCell ref="I45:J45"/>
    <mergeCell ref="K45:L45"/>
    <mergeCell ref="C34:D34"/>
    <mergeCell ref="E34:F34"/>
    <mergeCell ref="G34:H34"/>
    <mergeCell ref="I34:J34"/>
    <mergeCell ref="K38:L38"/>
    <mergeCell ref="K39:L39"/>
    <mergeCell ref="C39:D39"/>
    <mergeCell ref="E39:F39"/>
    <mergeCell ref="G39:H39"/>
    <mergeCell ref="E38:F38"/>
    <mergeCell ref="G38:H38"/>
    <mergeCell ref="I38:J38"/>
    <mergeCell ref="C40:D40"/>
    <mergeCell ref="E40:F40"/>
    <mergeCell ref="I40:J40"/>
    <mergeCell ref="G43:H43"/>
    <mergeCell ref="C44:D44"/>
    <mergeCell ref="E44:F44"/>
    <mergeCell ref="G44:H44"/>
    <mergeCell ref="I13:J13"/>
    <mergeCell ref="K13:L13"/>
    <mergeCell ref="E15:F15"/>
    <mergeCell ref="U17:V17"/>
    <mergeCell ref="G37:H37"/>
    <mergeCell ref="I37:J37"/>
    <mergeCell ref="K37:L37"/>
    <mergeCell ref="C42:D42"/>
    <mergeCell ref="E42:F42"/>
    <mergeCell ref="G42:H42"/>
    <mergeCell ref="I42:J42"/>
    <mergeCell ref="K42:L42"/>
    <mergeCell ref="K40:L40"/>
    <mergeCell ref="C38:D38"/>
    <mergeCell ref="I39:J39"/>
    <mergeCell ref="C27:D27"/>
    <mergeCell ref="E27:F27"/>
    <mergeCell ref="G27:H27"/>
    <mergeCell ref="I27:J27"/>
    <mergeCell ref="C19:D19"/>
    <mergeCell ref="K27:L27"/>
    <mergeCell ref="E19:F19"/>
    <mergeCell ref="G19:H19"/>
    <mergeCell ref="I35:J35"/>
    <mergeCell ref="I44:J44"/>
    <mergeCell ref="K44:L44"/>
    <mergeCell ref="C29:D29"/>
    <mergeCell ref="E29:F29"/>
    <mergeCell ref="G29:H29"/>
    <mergeCell ref="I29:J29"/>
    <mergeCell ref="K29:L29"/>
    <mergeCell ref="C30:D30"/>
    <mergeCell ref="E30:F30"/>
    <mergeCell ref="G30:H30"/>
    <mergeCell ref="I30:J30"/>
    <mergeCell ref="K30:L30"/>
    <mergeCell ref="C31:D31"/>
    <mergeCell ref="E31:F31"/>
    <mergeCell ref="I43:J43"/>
    <mergeCell ref="K43:L43"/>
    <mergeCell ref="C37:D37"/>
    <mergeCell ref="E37:F37"/>
    <mergeCell ref="G40:H40"/>
    <mergeCell ref="C43:D43"/>
    <mergeCell ref="E43:F43"/>
    <mergeCell ref="C35:D35"/>
    <mergeCell ref="E35:F35"/>
    <mergeCell ref="G35:H35"/>
    <mergeCell ref="A1:AC1"/>
    <mergeCell ref="C11:D11"/>
    <mergeCell ref="I11:J11"/>
    <mergeCell ref="K11:L11"/>
    <mergeCell ref="E11:F11"/>
    <mergeCell ref="G11:H11"/>
    <mergeCell ref="C21:D21"/>
    <mergeCell ref="E21:F21"/>
    <mergeCell ref="G21:H21"/>
    <mergeCell ref="I21:J21"/>
    <mergeCell ref="K21:L21"/>
    <mergeCell ref="G15:H15"/>
    <mergeCell ref="I15:J15"/>
    <mergeCell ref="K15:L15"/>
    <mergeCell ref="C13:D13"/>
    <mergeCell ref="E13:F13"/>
    <mergeCell ref="G13:H13"/>
    <mergeCell ref="I16:J16"/>
    <mergeCell ref="K16:L16"/>
    <mergeCell ref="C20:D20"/>
    <mergeCell ref="E20:F20"/>
    <mergeCell ref="G20:H20"/>
    <mergeCell ref="I20:J20"/>
    <mergeCell ref="K20:L20"/>
    <mergeCell ref="K35:L35"/>
    <mergeCell ref="C33:D33"/>
    <mergeCell ref="E33:F33"/>
    <mergeCell ref="G33:H33"/>
    <mergeCell ref="I33:J33"/>
    <mergeCell ref="K33:L33"/>
    <mergeCell ref="K34:L34"/>
    <mergeCell ref="G31:H31"/>
    <mergeCell ref="I31:J31"/>
    <mergeCell ref="K31:L31"/>
    <mergeCell ref="K22:L22"/>
    <mergeCell ref="C16:D16"/>
    <mergeCell ref="E16:F16"/>
    <mergeCell ref="G16:H16"/>
    <mergeCell ref="AA14:AB14"/>
    <mergeCell ref="C17:D17"/>
    <mergeCell ref="E17:F17"/>
    <mergeCell ref="G17:H17"/>
    <mergeCell ref="I17:J17"/>
    <mergeCell ref="K17:L17"/>
    <mergeCell ref="M17:N17"/>
    <mergeCell ref="O17:P17"/>
    <mergeCell ref="Q17:R17"/>
    <mergeCell ref="S17:T17"/>
    <mergeCell ref="O14:P14"/>
    <mergeCell ref="Q14:R14"/>
    <mergeCell ref="S14:T14"/>
    <mergeCell ref="U14:V14"/>
    <mergeCell ref="W14:X14"/>
    <mergeCell ref="Y14:Z14"/>
    <mergeCell ref="C14:D14"/>
    <mergeCell ref="E14:F14"/>
    <mergeCell ref="G14:H14"/>
    <mergeCell ref="I14:J14"/>
    <mergeCell ref="M14:N14"/>
    <mergeCell ref="C15:D15"/>
    <mergeCell ref="W17:X17"/>
    <mergeCell ref="AA20:AB20"/>
    <mergeCell ref="O20:P20"/>
    <mergeCell ref="Q20:R20"/>
    <mergeCell ref="S20:T20"/>
    <mergeCell ref="U20:V20"/>
    <mergeCell ref="W20:X20"/>
    <mergeCell ref="Y20:Z20"/>
    <mergeCell ref="Y17:Z17"/>
    <mergeCell ref="AA17:AB17"/>
    <mergeCell ref="I19:J19"/>
    <mergeCell ref="K19:L19"/>
    <mergeCell ref="K14:L14"/>
    <mergeCell ref="AA26:AB26"/>
    <mergeCell ref="U26:V26"/>
    <mergeCell ref="W26:X26"/>
    <mergeCell ref="Y26:Z26"/>
    <mergeCell ref="A6:B6"/>
    <mergeCell ref="C18:D18"/>
    <mergeCell ref="E18:F18"/>
    <mergeCell ref="G18:H18"/>
    <mergeCell ref="I18:J18"/>
    <mergeCell ref="K18:L18"/>
    <mergeCell ref="O26:P26"/>
    <mergeCell ref="Q26:R26"/>
    <mergeCell ref="S26:T26"/>
    <mergeCell ref="C26:D26"/>
    <mergeCell ref="E26:F26"/>
    <mergeCell ref="G26:H26"/>
    <mergeCell ref="I26:J26"/>
    <mergeCell ref="M20:N20"/>
    <mergeCell ref="K26:L26"/>
    <mergeCell ref="M26:N26"/>
    <mergeCell ref="C22:D22"/>
    <mergeCell ref="E22:F22"/>
    <mergeCell ref="G22:H22"/>
    <mergeCell ref="I22:J22"/>
  </mergeCells>
  <pageMargins left="0.23622047244094491" right="0.23622047244094491" top="0.19685039370078741" bottom="0.19685039370078741"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PRESENTATION</vt:lpstr>
      <vt:lpstr>Rappel du dispositif</vt:lpstr>
      <vt:lpstr>ESTIMATION PERSONNELL</vt:lpstr>
      <vt:lpstr>Détail du calcul</vt:lpstr>
      <vt:lpstr>'ESTIMATION PERSONNELL'!Impression_des_titres</vt:lpstr>
      <vt:lpstr>'ESTIMATION PERSONNELL'!Zone_d_impression</vt:lpstr>
      <vt:lpstr>PRESENTATION!Zone_d_impression</vt:lpstr>
    </vt:vector>
  </TitlesOfParts>
  <Company>ICDC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Petetin, Catherine</dc:creator>
  <cp:lastModifiedBy>Petetin, Catherine</cp:lastModifiedBy>
  <cp:lastPrinted>2017-09-20T14:04:57Z</cp:lastPrinted>
  <dcterms:created xsi:type="dcterms:W3CDTF">2017-05-15T17:52:32Z</dcterms:created>
  <dcterms:modified xsi:type="dcterms:W3CDTF">2017-10-03T12:37:17Z</dcterms:modified>
</cp:coreProperties>
</file>